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8865" windowWidth="11805" windowHeight="3195" tabRatio="597"/>
  </bookViews>
  <sheets>
    <sheet name="Ист.фин. на 01.01.25" sheetId="16" r:id="rId1"/>
    <sheet name="Доходы на 01.01.25" sheetId="17" r:id="rId2"/>
    <sheet name="Расходы на 01.01.25" sheetId="15" r:id="rId3"/>
  </sheets>
  <definedNames>
    <definedName name="_xlnm.Print_Area" localSheetId="1">'Доходы на 01.01.25'!$A$1:$H$175</definedName>
    <definedName name="_xlnm.Print_Area" localSheetId="0">'Ист.фин. на 01.01.25'!$A$1:$I$41</definedName>
    <definedName name="_xlnm.Print_Area" localSheetId="2">'Расходы на 01.01.25'!$A$1:$AQ$512</definedName>
  </definedNames>
  <calcPr calcId="125725" refMode="R1C1"/>
</workbook>
</file>

<file path=xl/calcChain.xml><?xml version="1.0" encoding="utf-8"?>
<calcChain xmlns="http://schemas.openxmlformats.org/spreadsheetml/2006/main">
  <c r="G307" i="15"/>
  <c r="D109" i="17" l="1"/>
  <c r="G318" i="15"/>
  <c r="G317"/>
  <c r="G313"/>
  <c r="G442"/>
  <c r="G440"/>
  <c r="G420"/>
  <c r="G430"/>
  <c r="G427"/>
  <c r="G426"/>
  <c r="G425"/>
  <c r="G423"/>
  <c r="G422"/>
  <c r="G421"/>
  <c r="G416"/>
  <c r="G415"/>
  <c r="G414"/>
  <c r="G413"/>
  <c r="G34"/>
  <c r="G93"/>
  <c r="G94"/>
  <c r="G92"/>
  <c r="G467"/>
  <c r="G302"/>
  <c r="G303"/>
  <c r="G216"/>
  <c r="G116"/>
  <c r="G114"/>
  <c r="G99"/>
  <c r="G58"/>
  <c r="E61"/>
  <c r="D61"/>
  <c r="E59"/>
  <c r="D59"/>
  <c r="G56"/>
  <c r="G52"/>
  <c r="G50"/>
  <c r="G41"/>
  <c r="G38"/>
  <c r="G470"/>
  <c r="G206"/>
  <c r="G104"/>
  <c r="G61"/>
  <c r="G59"/>
  <c r="G55"/>
  <c r="E483"/>
  <c r="E482"/>
  <c r="E481"/>
  <c r="E479" s="1"/>
  <c r="E477" s="1"/>
  <c r="E480"/>
  <c r="E478"/>
  <c r="E475"/>
  <c r="E473" s="1"/>
  <c r="E472" s="1"/>
  <c r="E474"/>
  <c r="E468"/>
  <c r="E465"/>
  <c r="E464"/>
  <c r="E463"/>
  <c r="E462"/>
  <c r="E460" s="1"/>
  <c r="E459" s="1"/>
  <c r="E458" s="1"/>
  <c r="E461"/>
  <c r="E456"/>
  <c r="E455"/>
  <c r="E454"/>
  <c r="E451"/>
  <c r="E448"/>
  <c r="E438"/>
  <c r="E411"/>
  <c r="E410"/>
  <c r="E409"/>
  <c r="E408"/>
  <c r="E407"/>
  <c r="E406"/>
  <c r="E405"/>
  <c r="E404"/>
  <c r="E403"/>
  <c r="E385" s="1"/>
  <c r="E402"/>
  <c r="E400"/>
  <c r="E399"/>
  <c r="E398"/>
  <c r="E380" s="1"/>
  <c r="E397"/>
  <c r="E379" s="1"/>
  <c r="E396"/>
  <c r="E378" s="1"/>
  <c r="E395"/>
  <c r="E377" s="1"/>
  <c r="E394"/>
  <c r="E376" s="1"/>
  <c r="E392"/>
  <c r="E391"/>
  <c r="E389"/>
  <c r="E382"/>
  <c r="E381"/>
  <c r="E374"/>
  <c r="E371"/>
  <c r="E365"/>
  <c r="E359"/>
  <c r="E358"/>
  <c r="E357"/>
  <c r="E356" s="1"/>
  <c r="E355"/>
  <c r="E354"/>
  <c r="E353" s="1"/>
  <c r="E352" s="1"/>
  <c r="E349"/>
  <c r="E346"/>
  <c r="E344"/>
  <c r="E342" s="1"/>
  <c r="E339"/>
  <c r="E334"/>
  <c r="E332"/>
  <c r="E327" s="1"/>
  <c r="E322"/>
  <c r="E316"/>
  <c r="E309" s="1"/>
  <c r="E307"/>
  <c r="E300"/>
  <c r="E299"/>
  <c r="E236" s="1"/>
  <c r="E298"/>
  <c r="E235" s="1"/>
  <c r="E294"/>
  <c r="E293"/>
  <c r="E292"/>
  <c r="E227" s="1"/>
  <c r="E291"/>
  <c r="E290"/>
  <c r="E289"/>
  <c r="E288" s="1"/>
  <c r="E285"/>
  <c r="E283"/>
  <c r="E281"/>
  <c r="E275"/>
  <c r="E270"/>
  <c r="E269"/>
  <c r="E268" s="1"/>
  <c r="E267"/>
  <c r="E266"/>
  <c r="E265"/>
  <c r="E264"/>
  <c r="E262" s="1"/>
  <c r="E263"/>
  <c r="E261"/>
  <c r="E260"/>
  <c r="E259" s="1"/>
  <c r="E252"/>
  <c r="E250"/>
  <c r="E249"/>
  <c r="E247"/>
  <c r="E246"/>
  <c r="E245" s="1"/>
  <c r="E244"/>
  <c r="E243"/>
  <c r="E228" s="1"/>
  <c r="E238"/>
  <c r="E237" s="1"/>
  <c r="E232"/>
  <c r="E230" s="1"/>
  <c r="E231"/>
  <c r="E229"/>
  <c r="E226"/>
  <c r="E225"/>
  <c r="E220"/>
  <c r="E219" s="1"/>
  <c r="E217" s="1"/>
  <c r="E215"/>
  <c r="E214"/>
  <c r="E212" s="1"/>
  <c r="E210"/>
  <c r="E209"/>
  <c r="E207"/>
  <c r="E205"/>
  <c r="E196" s="1"/>
  <c r="E171" s="1"/>
  <c r="E170" s="1"/>
  <c r="E195"/>
  <c r="E193"/>
  <c r="E192"/>
  <c r="E191"/>
  <c r="E169" s="1"/>
  <c r="E190"/>
  <c r="E168" s="1"/>
  <c r="E189"/>
  <c r="E188"/>
  <c r="E187"/>
  <c r="E186" s="1"/>
  <c r="E182"/>
  <c r="E181"/>
  <c r="E179" s="1"/>
  <c r="E178"/>
  <c r="E177"/>
  <c r="E176"/>
  <c r="E174" s="1"/>
  <c r="E173"/>
  <c r="E172"/>
  <c r="E167"/>
  <c r="E166"/>
  <c r="E158"/>
  <c r="E154"/>
  <c r="E153"/>
  <c r="E152"/>
  <c r="E151" s="1"/>
  <c r="E148"/>
  <c r="E128" s="1"/>
  <c r="E127" s="1"/>
  <c r="E147"/>
  <c r="E146" s="1"/>
  <c r="E139"/>
  <c r="E138"/>
  <c r="E137"/>
  <c r="E135"/>
  <c r="E134"/>
  <c r="E133" s="1"/>
  <c r="E130"/>
  <c r="E126"/>
  <c r="E125" s="1"/>
  <c r="E124" s="1"/>
  <c r="E120"/>
  <c r="E112" s="1"/>
  <c r="E107"/>
  <c r="E105"/>
  <c r="E101"/>
  <c r="E94" s="1"/>
  <c r="E92" s="1"/>
  <c r="E93"/>
  <c r="E91"/>
  <c r="E32" s="1"/>
  <c r="E90"/>
  <c r="E89"/>
  <c r="E88"/>
  <c r="E87" s="1"/>
  <c r="E82"/>
  <c r="E80"/>
  <c r="E78"/>
  <c r="E76"/>
  <c r="E74"/>
  <c r="E71"/>
  <c r="E69"/>
  <c r="E66" s="1"/>
  <c r="E63"/>
  <c r="E60"/>
  <c r="E48" s="1"/>
  <c r="E42"/>
  <c r="E36"/>
  <c r="E34"/>
  <c r="E31"/>
  <c r="E30" s="1"/>
  <c r="E28"/>
  <c r="E27"/>
  <c r="E26"/>
  <c r="E25"/>
  <c r="E24"/>
  <c r="E23"/>
  <c r="E22"/>
  <c r="E21"/>
  <c r="E19"/>
  <c r="E17"/>
  <c r="E16"/>
  <c r="F92"/>
  <c r="D34"/>
  <c r="F95"/>
  <c r="D95"/>
  <c r="AL100"/>
  <c r="AK100"/>
  <c r="AJ100"/>
  <c r="D93"/>
  <c r="D138"/>
  <c r="D36"/>
  <c r="F19"/>
  <c r="G19"/>
  <c r="D19"/>
  <c r="G489"/>
  <c r="G485"/>
  <c r="G368"/>
  <c r="G338"/>
  <c r="G341"/>
  <c r="G340"/>
  <c r="G320"/>
  <c r="G443"/>
  <c r="G436"/>
  <c r="G431"/>
  <c r="G202"/>
  <c r="G70"/>
  <c r="G57"/>
  <c r="G314"/>
  <c r="G77"/>
  <c r="E375" l="1"/>
  <c r="E390"/>
  <c r="E388" s="1"/>
  <c r="E386" s="1"/>
  <c r="E401"/>
  <c r="E393"/>
  <c r="E132"/>
  <c r="E136"/>
  <c r="E131"/>
  <c r="E129" s="1"/>
  <c r="E123" s="1"/>
  <c r="E149"/>
  <c r="E145" s="1"/>
  <c r="E184"/>
  <c r="E165"/>
  <c r="E164" s="1"/>
  <c r="E162" s="1"/>
  <c r="E194"/>
  <c r="E224"/>
  <c r="E223" s="1"/>
  <c r="E222" s="1"/>
  <c r="E258"/>
  <c r="E257" s="1"/>
  <c r="E234"/>
  <c r="E15"/>
  <c r="E85"/>
  <c r="E287"/>
  <c r="E35"/>
  <c r="E33" s="1"/>
  <c r="E95"/>
  <c r="E242"/>
  <c r="E241" s="1"/>
  <c r="E239" s="1"/>
  <c r="E373"/>
  <c r="E372" s="1"/>
  <c r="E370" s="1"/>
  <c r="E197"/>
  <c r="E297"/>
  <c r="E384"/>
  <c r="E383" s="1"/>
  <c r="G490"/>
  <c r="G106"/>
  <c r="G76"/>
  <c r="E369" l="1"/>
  <c r="E14"/>
  <c r="D60"/>
  <c r="D35" i="17"/>
  <c r="D37"/>
  <c r="AL167" i="15"/>
  <c r="AK167"/>
  <c r="AK169"/>
  <c r="AJ167"/>
  <c r="F165"/>
  <c r="F167"/>
  <c r="G167"/>
  <c r="D167"/>
  <c r="F197"/>
  <c r="F187"/>
  <c r="F188"/>
  <c r="AH188" s="1"/>
  <c r="G188"/>
  <c r="D188"/>
  <c r="AG188"/>
  <c r="AJ188"/>
  <c r="AL188" s="1"/>
  <c r="AL201"/>
  <c r="AK201"/>
  <c r="AJ201"/>
  <c r="G69"/>
  <c r="G221"/>
  <c r="G345"/>
  <c r="G315"/>
  <c r="G183"/>
  <c r="G73"/>
  <c r="D389"/>
  <c r="G311"/>
  <c r="D169" i="17"/>
  <c r="D167"/>
  <c r="D166" s="1"/>
  <c r="D164"/>
  <c r="D162"/>
  <c r="D160"/>
  <c r="D157"/>
  <c r="D155"/>
  <c r="D151"/>
  <c r="D142" s="1"/>
  <c r="D149"/>
  <c r="D147"/>
  <c r="D145"/>
  <c r="D143"/>
  <c r="D140"/>
  <c r="D139" s="1"/>
  <c r="D136"/>
  <c r="D135" s="1"/>
  <c r="D132"/>
  <c r="D130"/>
  <c r="D128"/>
  <c r="D127" s="1"/>
  <c r="D125"/>
  <c r="D123"/>
  <c r="D121"/>
  <c r="D119"/>
  <c r="D118" s="1"/>
  <c r="D116"/>
  <c r="D114"/>
  <c r="D113"/>
  <c r="D111"/>
  <c r="D107"/>
  <c r="D105"/>
  <c r="D103"/>
  <c r="D100" s="1"/>
  <c r="D97"/>
  <c r="D92" s="1"/>
  <c r="D90" s="1"/>
  <c r="D94"/>
  <c r="D88"/>
  <c r="D85"/>
  <c r="D84" s="1"/>
  <c r="D83" s="1"/>
  <c r="D78"/>
  <c r="D73"/>
  <c r="D69"/>
  <c r="D68" s="1"/>
  <c r="D64"/>
  <c r="D63" s="1"/>
  <c r="D57"/>
  <c r="D56" s="1"/>
  <c r="D48"/>
  <c r="D47" s="1"/>
  <c r="D42"/>
  <c r="D41" s="1"/>
  <c r="D39"/>
  <c r="D30"/>
  <c r="D26"/>
  <c r="D21"/>
  <c r="D153" l="1"/>
  <c r="AK188" i="15"/>
  <c r="AS188"/>
  <c r="D159" i="17"/>
  <c r="D138" s="1"/>
  <c r="D134" s="1"/>
  <c r="D99"/>
  <c r="D20"/>
  <c r="D19" s="1"/>
  <c r="D62"/>
  <c r="D55" s="1"/>
  <c r="D18" l="1"/>
  <c r="G332" i="15"/>
  <c r="G329"/>
  <c r="G316"/>
  <c r="G321"/>
  <c r="G348"/>
  <c r="AL330"/>
  <c r="AL333"/>
  <c r="AK330"/>
  <c r="AK333"/>
  <c r="AJ330"/>
  <c r="AJ331"/>
  <c r="AL331" s="1"/>
  <c r="AJ332"/>
  <c r="AK332" s="1"/>
  <c r="AJ333"/>
  <c r="AJ329"/>
  <c r="F299"/>
  <c r="F327"/>
  <c r="G327"/>
  <c r="D327"/>
  <c r="D332"/>
  <c r="G339"/>
  <c r="D293"/>
  <c r="AS347"/>
  <c r="AR347"/>
  <c r="AG347"/>
  <c r="AH347" s="1"/>
  <c r="AS343"/>
  <c r="AR343"/>
  <c r="AH343"/>
  <c r="AG343"/>
  <c r="G115"/>
  <c r="G488"/>
  <c r="F25"/>
  <c r="G25"/>
  <c r="AJ25" s="1"/>
  <c r="D25"/>
  <c r="F101"/>
  <c r="G101"/>
  <c r="D101"/>
  <c r="F24"/>
  <c r="G24"/>
  <c r="F316"/>
  <c r="F307"/>
  <c r="F107"/>
  <c r="G107"/>
  <c r="F105"/>
  <c r="G105"/>
  <c r="F60"/>
  <c r="G60"/>
  <c r="F69"/>
  <c r="D344"/>
  <c r="F138"/>
  <c r="G138"/>
  <c r="AK144"/>
  <c r="AJ143"/>
  <c r="AL143" s="1"/>
  <c r="AJ144"/>
  <c r="AL144" s="1"/>
  <c r="AJ101" l="1"/>
  <c r="AL101" s="1"/>
  <c r="G95"/>
  <c r="AK101"/>
  <c r="AL332"/>
  <c r="AK331"/>
  <c r="AL25"/>
  <c r="AK25"/>
  <c r="AS25"/>
  <c r="AK143"/>
  <c r="AS428"/>
  <c r="F411"/>
  <c r="D411"/>
  <c r="AS412"/>
  <c r="AS413"/>
  <c r="AS415"/>
  <c r="AS416"/>
  <c r="AS418"/>
  <c r="AS419"/>
  <c r="AS420"/>
  <c r="AS421"/>
  <c r="AS422"/>
  <c r="AS423"/>
  <c r="F406"/>
  <c r="G406"/>
  <c r="AJ406" s="1"/>
  <c r="AK406" s="1"/>
  <c r="D406"/>
  <c r="D94"/>
  <c r="D92" s="1"/>
  <c r="F126"/>
  <c r="G126"/>
  <c r="D126"/>
  <c r="F135"/>
  <c r="G135"/>
  <c r="D135"/>
  <c r="F139"/>
  <c r="G139"/>
  <c r="D139"/>
  <c r="F137"/>
  <c r="F136" s="1"/>
  <c r="G137"/>
  <c r="D137"/>
  <c r="D130" s="1"/>
  <c r="AJ138"/>
  <c r="AJ140"/>
  <c r="AK140" s="1"/>
  <c r="AJ141"/>
  <c r="AK141" s="1"/>
  <c r="AJ142"/>
  <c r="AL142" s="1"/>
  <c r="AG144"/>
  <c r="AH144" s="1"/>
  <c r="AR144"/>
  <c r="AS144"/>
  <c r="AG145"/>
  <c r="AR145"/>
  <c r="AG146"/>
  <c r="AR146"/>
  <c r="G408"/>
  <c r="F409"/>
  <c r="G409"/>
  <c r="AJ409" s="1"/>
  <c r="AL409" s="1"/>
  <c r="D409"/>
  <c r="F448"/>
  <c r="G448"/>
  <c r="D448"/>
  <c r="AJ20"/>
  <c r="AL20" s="1"/>
  <c r="AS20"/>
  <c r="AJ24"/>
  <c r="AJ350"/>
  <c r="AL350" s="1"/>
  <c r="AJ351"/>
  <c r="AL351" s="1"/>
  <c r="D107"/>
  <c r="F89"/>
  <c r="G89"/>
  <c r="AJ89" s="1"/>
  <c r="D89"/>
  <c r="AS24"/>
  <c r="D24"/>
  <c r="AJ489"/>
  <c r="AL489" s="1"/>
  <c r="AJ488"/>
  <c r="AS437"/>
  <c r="I40" i="17"/>
  <c r="H40"/>
  <c r="G40"/>
  <c r="G39"/>
  <c r="C39"/>
  <c r="I38"/>
  <c r="H38"/>
  <c r="G38"/>
  <c r="G37"/>
  <c r="C37"/>
  <c r="F294" i="15"/>
  <c r="G294"/>
  <c r="F298"/>
  <c r="F480"/>
  <c r="D480"/>
  <c r="F400"/>
  <c r="G400"/>
  <c r="F408"/>
  <c r="F402"/>
  <c r="F384" s="1"/>
  <c r="D410"/>
  <c r="D408"/>
  <c r="D404"/>
  <c r="D402"/>
  <c r="D400"/>
  <c r="D298"/>
  <c r="D346"/>
  <c r="F349"/>
  <c r="G349"/>
  <c r="AJ349" s="1"/>
  <c r="D349"/>
  <c r="F293"/>
  <c r="F346"/>
  <c r="G346"/>
  <c r="AS351"/>
  <c r="AS350"/>
  <c r="AR348"/>
  <c r="AG348"/>
  <c r="AH348" s="1"/>
  <c r="AS348"/>
  <c r="D190"/>
  <c r="I146" i="17"/>
  <c r="G146"/>
  <c r="H146" s="1"/>
  <c r="G145"/>
  <c r="C145"/>
  <c r="C147"/>
  <c r="G148"/>
  <c r="H148" s="1"/>
  <c r="I148"/>
  <c r="AK20" i="15" l="1"/>
  <c r="I147" i="17"/>
  <c r="I37"/>
  <c r="H37"/>
  <c r="AK24" i="15"/>
  <c r="G298"/>
  <c r="AL428"/>
  <c r="AS414"/>
  <c r="AS409"/>
  <c r="AJ428"/>
  <c r="AK428" s="1"/>
  <c r="AS408"/>
  <c r="AL406"/>
  <c r="AS406"/>
  <c r="AK142"/>
  <c r="AK350"/>
  <c r="AL140"/>
  <c r="G402"/>
  <c r="G384" s="1"/>
  <c r="AL141"/>
  <c r="G480"/>
  <c r="AJ480" s="1"/>
  <c r="AK480" s="1"/>
  <c r="G136"/>
  <c r="AJ136" s="1"/>
  <c r="AL136" s="1"/>
  <c r="G130"/>
  <c r="AJ137"/>
  <c r="AL137" s="1"/>
  <c r="AL138"/>
  <c r="AK138"/>
  <c r="D136"/>
  <c r="AK349"/>
  <c r="AL349"/>
  <c r="AL24"/>
  <c r="G293"/>
  <c r="AL488"/>
  <c r="AK488"/>
  <c r="AK409"/>
  <c r="AK89"/>
  <c r="AL89"/>
  <c r="AK351"/>
  <c r="AK489"/>
  <c r="H145" i="17"/>
  <c r="I39"/>
  <c r="H39"/>
  <c r="AJ348" i="15"/>
  <c r="I145" i="17"/>
  <c r="G147"/>
  <c r="H147" s="1"/>
  <c r="E13" i="15" l="1"/>
  <c r="AK136"/>
  <c r="AL480"/>
  <c r="AK137"/>
  <c r="AL348"/>
  <c r="AK348"/>
  <c r="G394"/>
  <c r="AJ394" s="1"/>
  <c r="D394"/>
  <c r="D376" s="1"/>
  <c r="G36"/>
  <c r="AL416"/>
  <c r="AJ416"/>
  <c r="AK416" s="1"/>
  <c r="G397"/>
  <c r="AL40"/>
  <c r="AL39"/>
  <c r="AK40"/>
  <c r="AK39"/>
  <c r="AJ40"/>
  <c r="AJ39"/>
  <c r="F18"/>
  <c r="F36"/>
  <c r="AJ490"/>
  <c r="AK490" s="1"/>
  <c r="G309"/>
  <c r="G205"/>
  <c r="G197" s="1"/>
  <c r="G120"/>
  <c r="F397"/>
  <c r="D397"/>
  <c r="D396"/>
  <c r="D392"/>
  <c r="D391"/>
  <c r="F377"/>
  <c r="D395"/>
  <c r="D339"/>
  <c r="AS417" l="1"/>
  <c r="G411"/>
  <c r="AS411" s="1"/>
  <c r="D377"/>
  <c r="AJ19"/>
  <c r="AS19"/>
  <c r="D398"/>
  <c r="G483"/>
  <c r="G395"/>
  <c r="AJ18"/>
  <c r="AK18" s="1"/>
  <c r="AS18"/>
  <c r="AL394"/>
  <c r="AK394"/>
  <c r="G376"/>
  <c r="AJ376" s="1"/>
  <c r="D390"/>
  <c r="F392"/>
  <c r="G392"/>
  <c r="F391"/>
  <c r="G391"/>
  <c r="F451"/>
  <c r="G451"/>
  <c r="AJ451" s="1"/>
  <c r="D451"/>
  <c r="AS452"/>
  <c r="AJ452"/>
  <c r="AK452" s="1"/>
  <c r="AG452"/>
  <c r="AH452" s="1"/>
  <c r="AS453"/>
  <c r="AJ453"/>
  <c r="AK453" s="1"/>
  <c r="AG453"/>
  <c r="AH453" s="1"/>
  <c r="AG451"/>
  <c r="F339"/>
  <c r="AJ340"/>
  <c r="AL340" s="1"/>
  <c r="D63"/>
  <c r="AL18" l="1"/>
  <c r="AK19"/>
  <c r="AL19"/>
  <c r="AJ395"/>
  <c r="G377"/>
  <c r="AJ377" s="1"/>
  <c r="AL377" s="1"/>
  <c r="AL376"/>
  <c r="AK376"/>
  <c r="AL452"/>
  <c r="AH451"/>
  <c r="AK451"/>
  <c r="AL451"/>
  <c r="AL453"/>
  <c r="AS451"/>
  <c r="AK340"/>
  <c r="G196"/>
  <c r="AK377" l="1"/>
  <c r="AL395"/>
  <c r="AK395"/>
  <c r="F478"/>
  <c r="AJ338"/>
  <c r="AK338" s="1"/>
  <c r="AJ339"/>
  <c r="AL339" s="1"/>
  <c r="AJ341"/>
  <c r="AL341" s="1"/>
  <c r="D334"/>
  <c r="F300" l="1"/>
  <c r="AL338"/>
  <c r="AK339"/>
  <c r="AK341"/>
  <c r="F334"/>
  <c r="G300"/>
  <c r="G334"/>
  <c r="G73" i="17"/>
  <c r="AR128" i="15"/>
  <c r="AG128"/>
  <c r="F148"/>
  <c r="F128" s="1"/>
  <c r="G148"/>
  <c r="G128" s="1"/>
  <c r="D148"/>
  <c r="D128" s="1"/>
  <c r="D127" s="1"/>
  <c r="AS432"/>
  <c r="AL432"/>
  <c r="AJ432"/>
  <c r="AK432" s="1"/>
  <c r="AS337"/>
  <c r="AR337"/>
  <c r="AG337"/>
  <c r="AH337" s="1"/>
  <c r="AJ337"/>
  <c r="AK337" s="1"/>
  <c r="AS336"/>
  <c r="AJ336"/>
  <c r="AK336" s="1"/>
  <c r="AG336"/>
  <c r="AH336" s="1"/>
  <c r="AS335"/>
  <c r="AR335"/>
  <c r="AG335"/>
  <c r="AH335" s="1"/>
  <c r="AR334"/>
  <c r="AG334"/>
  <c r="F154"/>
  <c r="G154"/>
  <c r="D154"/>
  <c r="AS156"/>
  <c r="AR156"/>
  <c r="AJ156"/>
  <c r="AK156" s="1"/>
  <c r="AG156"/>
  <c r="AH156" s="1"/>
  <c r="I163" i="17"/>
  <c r="H163"/>
  <c r="G163"/>
  <c r="C162"/>
  <c r="I172"/>
  <c r="H172"/>
  <c r="G172"/>
  <c r="D171"/>
  <c r="G171" s="1"/>
  <c r="C171"/>
  <c r="I170"/>
  <c r="H170"/>
  <c r="G170"/>
  <c r="G169"/>
  <c r="C169"/>
  <c r="I168"/>
  <c r="H168"/>
  <c r="G168"/>
  <c r="G167"/>
  <c r="C167"/>
  <c r="I165"/>
  <c r="H165"/>
  <c r="G165"/>
  <c r="G164"/>
  <c r="C164"/>
  <c r="I161"/>
  <c r="G161"/>
  <c r="H161" s="1"/>
  <c r="C160"/>
  <c r="I158"/>
  <c r="H158"/>
  <c r="G158"/>
  <c r="C157"/>
  <c r="I156"/>
  <c r="H156"/>
  <c r="G156"/>
  <c r="C155"/>
  <c r="I154"/>
  <c r="H154"/>
  <c r="G154"/>
  <c r="I152"/>
  <c r="G152"/>
  <c r="H152" s="1"/>
  <c r="G151"/>
  <c r="C151"/>
  <c r="I150"/>
  <c r="G150"/>
  <c r="H150" s="1"/>
  <c r="G149"/>
  <c r="C149"/>
  <c r="I144"/>
  <c r="G144"/>
  <c r="H144" s="1"/>
  <c r="C143"/>
  <c r="I141"/>
  <c r="H141"/>
  <c r="G141"/>
  <c r="G140"/>
  <c r="C140"/>
  <c r="I137"/>
  <c r="G137"/>
  <c r="H137" s="1"/>
  <c r="G136"/>
  <c r="C136"/>
  <c r="C135" s="1"/>
  <c r="I133"/>
  <c r="G133"/>
  <c r="H133" s="1"/>
  <c r="G132"/>
  <c r="C132"/>
  <c r="I129"/>
  <c r="G129"/>
  <c r="H129" s="1"/>
  <c r="G128"/>
  <c r="C128"/>
  <c r="I131"/>
  <c r="G131"/>
  <c r="H131" s="1"/>
  <c r="G130"/>
  <c r="C130"/>
  <c r="C127" s="1"/>
  <c r="I126"/>
  <c r="H126"/>
  <c r="G126"/>
  <c r="G125"/>
  <c r="C125"/>
  <c r="I124"/>
  <c r="H124"/>
  <c r="G124"/>
  <c r="G123"/>
  <c r="C123"/>
  <c r="I122"/>
  <c r="H122"/>
  <c r="G122"/>
  <c r="G121"/>
  <c r="C121"/>
  <c r="I120"/>
  <c r="H120"/>
  <c r="G120"/>
  <c r="G119"/>
  <c r="C119"/>
  <c r="I117"/>
  <c r="H117"/>
  <c r="G117"/>
  <c r="G116"/>
  <c r="C116"/>
  <c r="G115"/>
  <c r="C115"/>
  <c r="I115" s="1"/>
  <c r="G114"/>
  <c r="I112"/>
  <c r="H112"/>
  <c r="G112"/>
  <c r="G111"/>
  <c r="C111"/>
  <c r="I110"/>
  <c r="H110"/>
  <c r="G110"/>
  <c r="G109"/>
  <c r="C109"/>
  <c r="I108"/>
  <c r="H108"/>
  <c r="G108"/>
  <c r="G107"/>
  <c r="C107"/>
  <c r="I106"/>
  <c r="H106"/>
  <c r="G106"/>
  <c r="G105"/>
  <c r="C105"/>
  <c r="I104"/>
  <c r="H104"/>
  <c r="G104"/>
  <c r="G103"/>
  <c r="C103"/>
  <c r="I102"/>
  <c r="H102"/>
  <c r="G102"/>
  <c r="G101"/>
  <c r="C101"/>
  <c r="H101" s="1"/>
  <c r="G100"/>
  <c r="G98"/>
  <c r="C98"/>
  <c r="H98" s="1"/>
  <c r="G97"/>
  <c r="C97"/>
  <c r="I96"/>
  <c r="H96"/>
  <c r="G96"/>
  <c r="I95"/>
  <c r="H95"/>
  <c r="G95"/>
  <c r="H94"/>
  <c r="C94"/>
  <c r="I93"/>
  <c r="H93"/>
  <c r="G93"/>
  <c r="I91"/>
  <c r="H91"/>
  <c r="G91"/>
  <c r="I89"/>
  <c r="H89"/>
  <c r="G89"/>
  <c r="C88"/>
  <c r="I87"/>
  <c r="H87"/>
  <c r="G87"/>
  <c r="I86"/>
  <c r="H86"/>
  <c r="G86"/>
  <c r="G85"/>
  <c r="C85"/>
  <c r="I82"/>
  <c r="H82"/>
  <c r="G82"/>
  <c r="I81"/>
  <c r="H81"/>
  <c r="G81"/>
  <c r="I80"/>
  <c r="H80"/>
  <c r="G80"/>
  <c r="I79"/>
  <c r="H79"/>
  <c r="G79"/>
  <c r="G78"/>
  <c r="C78"/>
  <c r="I77"/>
  <c r="H77"/>
  <c r="G77"/>
  <c r="I76"/>
  <c r="H76"/>
  <c r="G76"/>
  <c r="I75"/>
  <c r="H75"/>
  <c r="G75"/>
  <c r="I74"/>
  <c r="H74"/>
  <c r="G74"/>
  <c r="C73"/>
  <c r="I72"/>
  <c r="H72"/>
  <c r="G72"/>
  <c r="I71"/>
  <c r="H71"/>
  <c r="G71"/>
  <c r="I70"/>
  <c r="H70"/>
  <c r="G70"/>
  <c r="G69"/>
  <c r="G68"/>
  <c r="C69"/>
  <c r="C68" s="1"/>
  <c r="I67"/>
  <c r="H67"/>
  <c r="G67"/>
  <c r="I66"/>
  <c r="H66"/>
  <c r="G66"/>
  <c r="I65"/>
  <c r="H65"/>
  <c r="G65"/>
  <c r="G64"/>
  <c r="C64"/>
  <c r="C63" s="1"/>
  <c r="I61"/>
  <c r="H61"/>
  <c r="G61"/>
  <c r="I60"/>
  <c r="H60"/>
  <c r="G60"/>
  <c r="I59"/>
  <c r="H59"/>
  <c r="G59"/>
  <c r="I58"/>
  <c r="H58"/>
  <c r="G58"/>
  <c r="G57"/>
  <c r="C57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C48"/>
  <c r="C47" s="1"/>
  <c r="I46"/>
  <c r="H46"/>
  <c r="G46"/>
  <c r="I45"/>
  <c r="H45"/>
  <c r="G45"/>
  <c r="I44"/>
  <c r="H44"/>
  <c r="G44"/>
  <c r="I43"/>
  <c r="H43"/>
  <c r="G43"/>
  <c r="G42"/>
  <c r="C42"/>
  <c r="C41" s="1"/>
  <c r="I36"/>
  <c r="H36"/>
  <c r="G36"/>
  <c r="G35"/>
  <c r="C35"/>
  <c r="I34"/>
  <c r="H34"/>
  <c r="G34"/>
  <c r="I33"/>
  <c r="H33"/>
  <c r="G33"/>
  <c r="I32"/>
  <c r="H32"/>
  <c r="G32"/>
  <c r="I31"/>
  <c r="H31"/>
  <c r="G31"/>
  <c r="C30"/>
  <c r="I29"/>
  <c r="H29"/>
  <c r="G29"/>
  <c r="I28"/>
  <c r="H28"/>
  <c r="G28"/>
  <c r="I27"/>
  <c r="H27"/>
  <c r="G27"/>
  <c r="G26"/>
  <c r="C26"/>
  <c r="H25"/>
  <c r="G25"/>
  <c r="I24"/>
  <c r="H24"/>
  <c r="G24"/>
  <c r="I23"/>
  <c r="H23"/>
  <c r="G23"/>
  <c r="I22"/>
  <c r="H22"/>
  <c r="G22"/>
  <c r="C21"/>
  <c r="H88" l="1"/>
  <c r="H136"/>
  <c r="C142"/>
  <c r="G88"/>
  <c r="G94"/>
  <c r="I136"/>
  <c r="H68"/>
  <c r="I97"/>
  <c r="H171"/>
  <c r="I69"/>
  <c r="H97"/>
  <c r="I98"/>
  <c r="H105"/>
  <c r="C114"/>
  <c r="I114" s="1"/>
  <c r="H115"/>
  <c r="H64"/>
  <c r="H69"/>
  <c r="H103"/>
  <c r="I149"/>
  <c r="H128"/>
  <c r="I132"/>
  <c r="C153"/>
  <c r="C62"/>
  <c r="H157"/>
  <c r="C20"/>
  <c r="G157"/>
  <c r="G21"/>
  <c r="G20"/>
  <c r="G143"/>
  <c r="H143" s="1"/>
  <c r="H151"/>
  <c r="H149"/>
  <c r="I143"/>
  <c r="I151"/>
  <c r="G142"/>
  <c r="H119"/>
  <c r="H169"/>
  <c r="H125"/>
  <c r="H123"/>
  <c r="H121"/>
  <c r="I30"/>
  <c r="I157"/>
  <c r="H111"/>
  <c r="C113"/>
  <c r="G113"/>
  <c r="H116"/>
  <c r="C159"/>
  <c r="I162"/>
  <c r="H155"/>
  <c r="AS128" i="15"/>
  <c r="AH128"/>
  <c r="F127"/>
  <c r="G127"/>
  <c r="AJ128"/>
  <c r="AK128" s="1"/>
  <c r="I160" i="17"/>
  <c r="G155"/>
  <c r="G30"/>
  <c r="H167"/>
  <c r="H140"/>
  <c r="G139"/>
  <c r="G127"/>
  <c r="H127" s="1"/>
  <c r="H109"/>
  <c r="H73"/>
  <c r="AS334" i="15"/>
  <c r="AH334"/>
  <c r="AL336"/>
  <c r="AJ334"/>
  <c r="AL337"/>
  <c r="AL156"/>
  <c r="H162" i="17"/>
  <c r="G162"/>
  <c r="H164"/>
  <c r="G160"/>
  <c r="H160" s="1"/>
  <c r="I155"/>
  <c r="H107"/>
  <c r="H85"/>
  <c r="H78"/>
  <c r="H57"/>
  <c r="H48"/>
  <c r="G48"/>
  <c r="H35"/>
  <c r="H30"/>
  <c r="H26"/>
  <c r="H21"/>
  <c r="I21"/>
  <c r="I26"/>
  <c r="I42"/>
  <c r="I68"/>
  <c r="I140"/>
  <c r="I35"/>
  <c r="H42"/>
  <c r="I73"/>
  <c r="C100"/>
  <c r="I100" s="1"/>
  <c r="I101"/>
  <c r="I103"/>
  <c r="I105"/>
  <c r="I107"/>
  <c r="I109"/>
  <c r="I111"/>
  <c r="I119"/>
  <c r="I121"/>
  <c r="I123"/>
  <c r="I125"/>
  <c r="H130"/>
  <c r="H132"/>
  <c r="C139"/>
  <c r="I169"/>
  <c r="I171"/>
  <c r="I48"/>
  <c r="C56"/>
  <c r="I64"/>
  <c r="C84"/>
  <c r="I88"/>
  <c r="C92"/>
  <c r="I94"/>
  <c r="I116"/>
  <c r="C118"/>
  <c r="I164"/>
  <c r="C166"/>
  <c r="I78"/>
  <c r="I130"/>
  <c r="I128"/>
  <c r="I57"/>
  <c r="I85"/>
  <c r="I167"/>
  <c r="H114" l="1"/>
  <c r="I92"/>
  <c r="H142"/>
  <c r="I113"/>
  <c r="G92"/>
  <c r="G90"/>
  <c r="I127"/>
  <c r="I153"/>
  <c r="H153"/>
  <c r="I142"/>
  <c r="C138"/>
  <c r="C134" s="1"/>
  <c r="AL128" i="15"/>
  <c r="G41" i="17"/>
  <c r="G153"/>
  <c r="H113"/>
  <c r="I139"/>
  <c r="AL334" i="15"/>
  <c r="AK334"/>
  <c r="I41" i="17"/>
  <c r="H41"/>
  <c r="G99"/>
  <c r="I159"/>
  <c r="H159"/>
  <c r="G159"/>
  <c r="I47"/>
  <c r="G47"/>
  <c r="H47"/>
  <c r="H20"/>
  <c r="C19"/>
  <c r="I166"/>
  <c r="G166"/>
  <c r="H84"/>
  <c r="C83"/>
  <c r="H139"/>
  <c r="I118"/>
  <c r="G118"/>
  <c r="H100"/>
  <c r="C99"/>
  <c r="H99" s="1"/>
  <c r="I84"/>
  <c r="G84"/>
  <c r="H56"/>
  <c r="C55"/>
  <c r="I135"/>
  <c r="G135"/>
  <c r="H135" s="1"/>
  <c r="H92"/>
  <c r="C90"/>
  <c r="I63"/>
  <c r="H63"/>
  <c r="G63"/>
  <c r="G56"/>
  <c r="I56"/>
  <c r="H166"/>
  <c r="H118"/>
  <c r="I20"/>
  <c r="C18" l="1"/>
  <c r="I19"/>
  <c r="G19"/>
  <c r="H90"/>
  <c r="I90"/>
  <c r="H138"/>
  <c r="G138"/>
  <c r="I138"/>
  <c r="G62"/>
  <c r="I62"/>
  <c r="H62"/>
  <c r="I83"/>
  <c r="G83"/>
  <c r="H19"/>
  <c r="H83"/>
  <c r="I99"/>
  <c r="H134" l="1"/>
  <c r="I134"/>
  <c r="G134"/>
  <c r="I55"/>
  <c r="G55"/>
  <c r="C173"/>
  <c r="H55"/>
  <c r="I18" l="1"/>
  <c r="G18"/>
  <c r="D173"/>
  <c r="H173" s="1"/>
  <c r="C174"/>
  <c r="H18"/>
  <c r="D174" l="1"/>
  <c r="E27" i="16" s="1"/>
  <c r="G173" i="17"/>
  <c r="I173"/>
  <c r="H174" l="1"/>
  <c r="G174"/>
  <c r="I174"/>
  <c r="G396" i="15" l="1"/>
  <c r="AJ396" s="1"/>
  <c r="AJ436"/>
  <c r="AJ437"/>
  <c r="AL396" l="1"/>
  <c r="AK396"/>
  <c r="G365"/>
  <c r="G359" s="1"/>
  <c r="AS110"/>
  <c r="AJ110"/>
  <c r="AK110" s="1"/>
  <c r="AG110"/>
  <c r="AH110" s="1"/>
  <c r="D153"/>
  <c r="G474"/>
  <c r="F474"/>
  <c r="D474"/>
  <c r="AR115"/>
  <c r="AG115"/>
  <c r="AH115" s="1"/>
  <c r="AS115"/>
  <c r="AJ103"/>
  <c r="AL103" s="1"/>
  <c r="AS103"/>
  <c r="D365"/>
  <c r="G91" l="1"/>
  <c r="AJ91" s="1"/>
  <c r="AL91" s="1"/>
  <c r="F91"/>
  <c r="AL110"/>
  <c r="AK103"/>
  <c r="AJ115"/>
  <c r="AJ367"/>
  <c r="AL367" l="1"/>
  <c r="AK367"/>
  <c r="AK115"/>
  <c r="AL115"/>
  <c r="AL437"/>
  <c r="AK437"/>
  <c r="AJ441"/>
  <c r="AK441" s="1"/>
  <c r="G389"/>
  <c r="AL441" l="1"/>
  <c r="G379" l="1"/>
  <c r="AJ379" s="1"/>
  <c r="F170"/>
  <c r="AJ474"/>
  <c r="AL474" s="1"/>
  <c r="F476"/>
  <c r="F475" s="1"/>
  <c r="F473" s="1"/>
  <c r="F296"/>
  <c r="F295" s="1"/>
  <c r="AR296"/>
  <c r="AG296"/>
  <c r="AR295"/>
  <c r="AG295"/>
  <c r="F205"/>
  <c r="D205"/>
  <c r="D197" s="1"/>
  <c r="AS206"/>
  <c r="AJ206"/>
  <c r="AK206" s="1"/>
  <c r="AG206"/>
  <c r="AH206" s="1"/>
  <c r="AJ148"/>
  <c r="F150"/>
  <c r="F130" s="1"/>
  <c r="F152"/>
  <c r="G152"/>
  <c r="AJ152" s="1"/>
  <c r="D152"/>
  <c r="D151" s="1"/>
  <c r="D131" s="1"/>
  <c r="AR151"/>
  <c r="AG151"/>
  <c r="AR149"/>
  <c r="AG149"/>
  <c r="AR148"/>
  <c r="AG148"/>
  <c r="AR147"/>
  <c r="AG147"/>
  <c r="AL379" l="1"/>
  <c r="AH296"/>
  <c r="D231"/>
  <c r="G147"/>
  <c r="F231"/>
  <c r="G231"/>
  <c r="D196"/>
  <c r="D171" s="1"/>
  <c r="D170" s="1"/>
  <c r="G475"/>
  <c r="AJ476"/>
  <c r="AK476" s="1"/>
  <c r="D475"/>
  <c r="AK474"/>
  <c r="AH295"/>
  <c r="AJ150"/>
  <c r="AL150" s="1"/>
  <c r="AS148"/>
  <c r="AS295"/>
  <c r="AJ295"/>
  <c r="AK295" s="1"/>
  <c r="AJ296"/>
  <c r="AK296" s="1"/>
  <c r="AS296"/>
  <c r="AL206"/>
  <c r="AK152"/>
  <c r="AL148"/>
  <c r="AL152"/>
  <c r="AK148"/>
  <c r="D147"/>
  <c r="D146" s="1"/>
  <c r="AS147" l="1"/>
  <c r="G146"/>
  <c r="AJ147"/>
  <c r="AK147" s="1"/>
  <c r="AL476"/>
  <c r="G473"/>
  <c r="AJ475"/>
  <c r="AK475" s="1"/>
  <c r="D473"/>
  <c r="AK150"/>
  <c r="AL295"/>
  <c r="AL296"/>
  <c r="AS146" l="1"/>
  <c r="AJ146"/>
  <c r="AL147"/>
  <c r="AL475"/>
  <c r="D382"/>
  <c r="D17"/>
  <c r="D21"/>
  <c r="D23"/>
  <c r="D26"/>
  <c r="D438"/>
  <c r="AS447"/>
  <c r="AL447"/>
  <c r="AJ447"/>
  <c r="AK447" s="1"/>
  <c r="AR418"/>
  <c r="AL418"/>
  <c r="AJ418"/>
  <c r="AK418" s="1"/>
  <c r="AG418"/>
  <c r="AH418" s="1"/>
  <c r="AR417"/>
  <c r="AL417"/>
  <c r="AJ417"/>
  <c r="AK417" s="1"/>
  <c r="AG417"/>
  <c r="AH417" s="1"/>
  <c r="AS433"/>
  <c r="AL433"/>
  <c r="AJ433"/>
  <c r="AK433" s="1"/>
  <c r="AR421"/>
  <c r="AL421"/>
  <c r="AJ421"/>
  <c r="AK421" s="1"/>
  <c r="AG421"/>
  <c r="AH421" s="1"/>
  <c r="AJ130"/>
  <c r="AR130"/>
  <c r="AG130"/>
  <c r="F158"/>
  <c r="F153" s="1"/>
  <c r="F151" s="1"/>
  <c r="F131" s="1"/>
  <c r="G158"/>
  <c r="G153" s="1"/>
  <c r="D158"/>
  <c r="AS161"/>
  <c r="AR161"/>
  <c r="AJ161"/>
  <c r="AL161" s="1"/>
  <c r="AG161"/>
  <c r="AH161" s="1"/>
  <c r="AS109"/>
  <c r="AJ109"/>
  <c r="AK109" s="1"/>
  <c r="AG109"/>
  <c r="AH109" s="1"/>
  <c r="AS54"/>
  <c r="AR54"/>
  <c r="AJ54"/>
  <c r="AL54" s="1"/>
  <c r="AG54"/>
  <c r="AH54" s="1"/>
  <c r="AS53"/>
  <c r="AR53"/>
  <c r="AJ53"/>
  <c r="AK53" s="1"/>
  <c r="AG53"/>
  <c r="AH53" s="1"/>
  <c r="D478"/>
  <c r="G478"/>
  <c r="AJ478" s="1"/>
  <c r="E491"/>
  <c r="F491"/>
  <c r="G491"/>
  <c r="D491"/>
  <c r="AJ492"/>
  <c r="AL492" s="1"/>
  <c r="AR491"/>
  <c r="AG491"/>
  <c r="D105"/>
  <c r="F80"/>
  <c r="G80"/>
  <c r="F76"/>
  <c r="E504"/>
  <c r="E503"/>
  <c r="E502" s="1"/>
  <c r="E501" s="1"/>
  <c r="E500" s="1"/>
  <c r="E497"/>
  <c r="E496"/>
  <c r="E495" s="1"/>
  <c r="E494" s="1"/>
  <c r="E493" s="1"/>
  <c r="AS466"/>
  <c r="F464"/>
  <c r="G464"/>
  <c r="G463" s="1"/>
  <c r="D464"/>
  <c r="D463" s="1"/>
  <c r="F461"/>
  <c r="G461"/>
  <c r="D461"/>
  <c r="AR464"/>
  <c r="AG464"/>
  <c r="D16" l="1"/>
  <c r="AK146"/>
  <c r="AL146"/>
  <c r="AH151"/>
  <c r="F149"/>
  <c r="AH149" s="1"/>
  <c r="AJ153"/>
  <c r="G151"/>
  <c r="G131" s="1"/>
  <c r="AS153"/>
  <c r="AK161"/>
  <c r="AH130"/>
  <c r="AK130"/>
  <c r="AL53"/>
  <c r="AS491"/>
  <c r="AK54"/>
  <c r="AL130"/>
  <c r="AH491"/>
  <c r="AS130"/>
  <c r="AH464"/>
  <c r="AL109"/>
  <c r="AJ491"/>
  <c r="AL491" s="1"/>
  <c r="AK492"/>
  <c r="F463"/>
  <c r="AJ464"/>
  <c r="AL464" s="1"/>
  <c r="AJ463"/>
  <c r="AS463"/>
  <c r="AS464"/>
  <c r="AS489"/>
  <c r="AJ442"/>
  <c r="AK442" s="1"/>
  <c r="AS440"/>
  <c r="AL415"/>
  <c r="AS362"/>
  <c r="AJ313"/>
  <c r="AS345"/>
  <c r="AS303"/>
  <c r="AS116"/>
  <c r="AS99"/>
  <c r="AJ68"/>
  <c r="AL68" s="1"/>
  <c r="AS64"/>
  <c r="AJ61"/>
  <c r="AL61" s="1"/>
  <c r="AS58"/>
  <c r="AS52"/>
  <c r="AS50"/>
  <c r="AL426"/>
  <c r="AS368"/>
  <c r="AJ316"/>
  <c r="AS51"/>
  <c r="AS80"/>
  <c r="AL429"/>
  <c r="G481"/>
  <c r="AS320"/>
  <c r="AS55"/>
  <c r="AS38"/>
  <c r="AS29"/>
  <c r="AS37"/>
  <c r="AS41"/>
  <c r="AS43"/>
  <c r="AS44"/>
  <c r="AS45"/>
  <c r="AS46"/>
  <c r="AS47"/>
  <c r="AS49"/>
  <c r="AS56"/>
  <c r="AS57"/>
  <c r="AS59"/>
  <c r="AS61"/>
  <c r="AS62"/>
  <c r="AS65"/>
  <c r="AS67"/>
  <c r="AS68"/>
  <c r="AS70"/>
  <c r="AS72"/>
  <c r="AS73"/>
  <c r="AS75"/>
  <c r="AS77"/>
  <c r="AS79"/>
  <c r="AS81"/>
  <c r="AS83"/>
  <c r="AS84"/>
  <c r="AS86"/>
  <c r="AS93"/>
  <c r="AS96"/>
  <c r="AS97"/>
  <c r="AS98"/>
  <c r="AS102"/>
  <c r="AS106"/>
  <c r="AS108"/>
  <c r="AS111"/>
  <c r="AS113"/>
  <c r="AS114"/>
  <c r="AS117"/>
  <c r="AS118"/>
  <c r="AS119"/>
  <c r="AS121"/>
  <c r="AS122"/>
  <c r="AS155"/>
  <c r="AS157"/>
  <c r="AS140"/>
  <c r="AS159"/>
  <c r="AS160"/>
  <c r="AS163"/>
  <c r="AS175"/>
  <c r="AS180"/>
  <c r="AS183"/>
  <c r="AS185"/>
  <c r="AS198"/>
  <c r="AS199"/>
  <c r="AS200"/>
  <c r="AS202"/>
  <c r="AS203"/>
  <c r="AS204"/>
  <c r="AS205"/>
  <c r="AS208"/>
  <c r="AS211"/>
  <c r="AS213"/>
  <c r="AS216"/>
  <c r="AS218"/>
  <c r="AS221"/>
  <c r="AS233"/>
  <c r="AS240"/>
  <c r="AS248"/>
  <c r="AS251"/>
  <c r="AS253"/>
  <c r="AS254"/>
  <c r="AS255"/>
  <c r="AS256"/>
  <c r="AS271"/>
  <c r="AS272"/>
  <c r="AS273"/>
  <c r="AS274"/>
  <c r="AS276"/>
  <c r="AS277"/>
  <c r="AS278"/>
  <c r="AS279"/>
  <c r="AS280"/>
  <c r="AS282"/>
  <c r="AS284"/>
  <c r="AS286"/>
  <c r="AS301"/>
  <c r="AS302"/>
  <c r="AS304"/>
  <c r="AS305"/>
  <c r="AS306"/>
  <c r="AS308"/>
  <c r="AS310"/>
  <c r="AS312"/>
  <c r="AS314"/>
  <c r="AS315"/>
  <c r="AS317"/>
  <c r="AS318"/>
  <c r="AS319"/>
  <c r="AS321"/>
  <c r="AS323"/>
  <c r="AS324"/>
  <c r="AS325"/>
  <c r="AS326"/>
  <c r="AS328"/>
  <c r="AS329"/>
  <c r="AS330"/>
  <c r="AS331"/>
  <c r="AS360"/>
  <c r="AS361"/>
  <c r="AS363"/>
  <c r="AS364"/>
  <c r="AS366"/>
  <c r="AS387"/>
  <c r="AS424"/>
  <c r="AS425"/>
  <c r="AS427"/>
  <c r="AS430"/>
  <c r="AS431"/>
  <c r="AS434"/>
  <c r="AS435"/>
  <c r="AS436"/>
  <c r="AS439"/>
  <c r="AS443"/>
  <c r="AS444"/>
  <c r="AS445"/>
  <c r="AS446"/>
  <c r="AS449"/>
  <c r="AS457"/>
  <c r="AS467"/>
  <c r="AS469"/>
  <c r="AS470"/>
  <c r="AS471"/>
  <c r="AS484"/>
  <c r="AS485"/>
  <c r="AS486"/>
  <c r="AS487"/>
  <c r="AS490"/>
  <c r="AS498"/>
  <c r="AS499"/>
  <c r="AS505"/>
  <c r="AS506"/>
  <c r="F23"/>
  <c r="F382"/>
  <c r="AL436"/>
  <c r="AK436"/>
  <c r="F193"/>
  <c r="F173" s="1"/>
  <c r="G193"/>
  <c r="D193"/>
  <c r="D173" s="1"/>
  <c r="AR221"/>
  <c r="AJ221"/>
  <c r="AK221" s="1"/>
  <c r="AG221"/>
  <c r="AH221" s="1"/>
  <c r="AR220"/>
  <c r="AG220"/>
  <c r="G220"/>
  <c r="F220"/>
  <c r="D220"/>
  <c r="D219" s="1"/>
  <c r="D217" s="1"/>
  <c r="AR219"/>
  <c r="AG219"/>
  <c r="AR218"/>
  <c r="AG218"/>
  <c r="AH218" s="1"/>
  <c r="AR217"/>
  <c r="AG217"/>
  <c r="F190"/>
  <c r="G190"/>
  <c r="AR216"/>
  <c r="AJ216"/>
  <c r="AK216" s="1"/>
  <c r="AG216"/>
  <c r="AH216" s="1"/>
  <c r="AR215"/>
  <c r="AG215"/>
  <c r="G215"/>
  <c r="F215"/>
  <c r="D215"/>
  <c r="D214" s="1"/>
  <c r="D212" s="1"/>
  <c r="AR214"/>
  <c r="AG214"/>
  <c r="AR213"/>
  <c r="AG213"/>
  <c r="AH213" s="1"/>
  <c r="AR212"/>
  <c r="AG212"/>
  <c r="AJ106"/>
  <c r="AL106" s="1"/>
  <c r="AJ105"/>
  <c r="AJ102"/>
  <c r="AL102" s="1"/>
  <c r="AS311"/>
  <c r="AS104"/>
  <c r="AJ38"/>
  <c r="AL38" s="1"/>
  <c r="D125"/>
  <c r="D124" s="1"/>
  <c r="D481"/>
  <c r="F374"/>
  <c r="F396"/>
  <c r="F379"/>
  <c r="F398"/>
  <c r="F380" s="1"/>
  <c r="G398"/>
  <c r="F399"/>
  <c r="G399"/>
  <c r="AJ399" s="1"/>
  <c r="AJ384"/>
  <c r="F404"/>
  <c r="F405"/>
  <c r="G405"/>
  <c r="AJ405" s="1"/>
  <c r="F407"/>
  <c r="AJ408"/>
  <c r="F410"/>
  <c r="D379"/>
  <c r="AJ445"/>
  <c r="AK445" s="1"/>
  <c r="AJ446"/>
  <c r="AL446" s="1"/>
  <c r="AJ449"/>
  <c r="AK449" s="1"/>
  <c r="AG449"/>
  <c r="AH449" s="1"/>
  <c r="AG448"/>
  <c r="AJ448"/>
  <c r="F438"/>
  <c r="D380"/>
  <c r="D405"/>
  <c r="D403" s="1"/>
  <c r="D407"/>
  <c r="D399"/>
  <c r="D393" s="1"/>
  <c r="F381"/>
  <c r="G381"/>
  <c r="AJ381" s="1"/>
  <c r="AL381" s="1"/>
  <c r="D381"/>
  <c r="AL424"/>
  <c r="AL425"/>
  <c r="AL427"/>
  <c r="AJ424"/>
  <c r="AK424" s="1"/>
  <c r="AJ425"/>
  <c r="AK425" s="1"/>
  <c r="AJ426"/>
  <c r="AK426" s="1"/>
  <c r="AJ427"/>
  <c r="AK427" s="1"/>
  <c r="AL434"/>
  <c r="AL435"/>
  <c r="AJ434"/>
  <c r="AK434" s="1"/>
  <c r="AJ435"/>
  <c r="AK435" s="1"/>
  <c r="F365"/>
  <c r="F358" s="1"/>
  <c r="AJ366"/>
  <c r="AK366" s="1"/>
  <c r="AJ368"/>
  <c r="D358"/>
  <c r="F344"/>
  <c r="F342" s="1"/>
  <c r="G344"/>
  <c r="G299" s="1"/>
  <c r="D342"/>
  <c r="AJ346"/>
  <c r="AJ317"/>
  <c r="AK317" s="1"/>
  <c r="AJ318"/>
  <c r="AK318" s="1"/>
  <c r="AJ319"/>
  <c r="AK319" s="1"/>
  <c r="AJ320"/>
  <c r="AL320" s="1"/>
  <c r="AJ321"/>
  <c r="AL321" s="1"/>
  <c r="D316"/>
  <c r="AJ197"/>
  <c r="F134"/>
  <c r="F133" s="1"/>
  <c r="F132" s="1"/>
  <c r="F26"/>
  <c r="G26"/>
  <c r="F34"/>
  <c r="AJ34"/>
  <c r="D91"/>
  <c r="AK91" s="1"/>
  <c r="AS101"/>
  <c r="AJ80"/>
  <c r="AG80"/>
  <c r="AH80" s="1"/>
  <c r="D80"/>
  <c r="F63"/>
  <c r="AJ65"/>
  <c r="AL65" s="1"/>
  <c r="AJ62"/>
  <c r="AL62" s="1"/>
  <c r="D48"/>
  <c r="D238"/>
  <c r="D243"/>
  <c r="D260"/>
  <c r="D244"/>
  <c r="D261"/>
  <c r="D263"/>
  <c r="D264"/>
  <c r="D232" s="1"/>
  <c r="D266"/>
  <c r="D246"/>
  <c r="D245" s="1"/>
  <c r="D267"/>
  <c r="D374"/>
  <c r="G290"/>
  <c r="G225" s="1"/>
  <c r="AJ294"/>
  <c r="G292"/>
  <c r="G227" s="1"/>
  <c r="AJ227" s="1"/>
  <c r="F290"/>
  <c r="F291"/>
  <c r="F226" s="1"/>
  <c r="F292"/>
  <c r="F227" s="1"/>
  <c r="AJ298"/>
  <c r="D290"/>
  <c r="D225" s="1"/>
  <c r="D291"/>
  <c r="D226" s="1"/>
  <c r="D294"/>
  <c r="D292"/>
  <c r="D227" s="1"/>
  <c r="D371"/>
  <c r="F389"/>
  <c r="F371" s="1"/>
  <c r="G482"/>
  <c r="AJ482" s="1"/>
  <c r="D482"/>
  <c r="F482"/>
  <c r="F479" s="1"/>
  <c r="AJ308"/>
  <c r="AK308" s="1"/>
  <c r="D307"/>
  <c r="D384"/>
  <c r="D90"/>
  <c r="D88" s="1"/>
  <c r="D28"/>
  <c r="D76"/>
  <c r="D74" s="1"/>
  <c r="D31"/>
  <c r="D30" s="1"/>
  <c r="D69"/>
  <c r="AJ414"/>
  <c r="AK414" s="1"/>
  <c r="AJ51"/>
  <c r="AK51" s="1"/>
  <c r="D483"/>
  <c r="AJ487"/>
  <c r="AK487" s="1"/>
  <c r="AL430"/>
  <c r="AL431"/>
  <c r="AJ430"/>
  <c r="AK430" s="1"/>
  <c r="AJ431"/>
  <c r="AK431" s="1"/>
  <c r="G28"/>
  <c r="G31"/>
  <c r="AJ31" s="1"/>
  <c r="G191"/>
  <c r="G169" s="1"/>
  <c r="G189"/>
  <c r="G195"/>
  <c r="G171"/>
  <c r="G243"/>
  <c r="AJ243" s="1"/>
  <c r="G260"/>
  <c r="G244"/>
  <c r="G261"/>
  <c r="AJ261" s="1"/>
  <c r="G263"/>
  <c r="G264"/>
  <c r="G266"/>
  <c r="G246"/>
  <c r="G267"/>
  <c r="G238"/>
  <c r="G237" s="1"/>
  <c r="G355"/>
  <c r="AS355" s="1"/>
  <c r="G357"/>
  <c r="AJ357" s="1"/>
  <c r="G496"/>
  <c r="AJ496" s="1"/>
  <c r="G462"/>
  <c r="AJ462" s="1"/>
  <c r="G503"/>
  <c r="G502" s="1"/>
  <c r="G501" s="1"/>
  <c r="G500" s="1"/>
  <c r="AJ500" s="1"/>
  <c r="G454"/>
  <c r="AJ454" s="1"/>
  <c r="F66"/>
  <c r="D462"/>
  <c r="D460" s="1"/>
  <c r="D459" s="1"/>
  <c r="D458" s="1"/>
  <c r="D454"/>
  <c r="D357"/>
  <c r="D354"/>
  <c r="D353" s="1"/>
  <c r="D355"/>
  <c r="D178"/>
  <c r="D177" s="1"/>
  <c r="D176" s="1"/>
  <c r="D191"/>
  <c r="D189"/>
  <c r="D195"/>
  <c r="D496"/>
  <c r="D495" s="1"/>
  <c r="D494" s="1"/>
  <c r="D493" s="1"/>
  <c r="D120"/>
  <c r="D112" s="1"/>
  <c r="D503"/>
  <c r="D502" s="1"/>
  <c r="D501" s="1"/>
  <c r="D500" s="1"/>
  <c r="F120"/>
  <c r="F112" s="1"/>
  <c r="AR122"/>
  <c r="AJ122"/>
  <c r="AL122" s="1"/>
  <c r="AG122"/>
  <c r="AH122" s="1"/>
  <c r="AR121"/>
  <c r="AJ121"/>
  <c r="AG121"/>
  <c r="AH121" s="1"/>
  <c r="AJ77"/>
  <c r="AL77" s="1"/>
  <c r="AG77"/>
  <c r="AH77" s="1"/>
  <c r="AJ70"/>
  <c r="G468"/>
  <c r="AG298"/>
  <c r="AJ183"/>
  <c r="AL183" s="1"/>
  <c r="G455"/>
  <c r="AJ455" s="1"/>
  <c r="D455"/>
  <c r="D456"/>
  <c r="G456"/>
  <c r="AJ456" s="1"/>
  <c r="AL457"/>
  <c r="AK457"/>
  <c r="F17"/>
  <c r="F21"/>
  <c r="F20"/>
  <c r="AG23"/>
  <c r="F90"/>
  <c r="F28"/>
  <c r="AG28"/>
  <c r="F31"/>
  <c r="F178"/>
  <c r="F177" s="1"/>
  <c r="AG178"/>
  <c r="F191"/>
  <c r="F169" s="1"/>
  <c r="AG191"/>
  <c r="F189"/>
  <c r="F166" s="1"/>
  <c r="AG166"/>
  <c r="F195"/>
  <c r="F196"/>
  <c r="AG291"/>
  <c r="F243"/>
  <c r="AG293"/>
  <c r="F260"/>
  <c r="F244"/>
  <c r="F261"/>
  <c r="AG292"/>
  <c r="F263"/>
  <c r="F264"/>
  <c r="AG232"/>
  <c r="AG233"/>
  <c r="AH233" s="1"/>
  <c r="F266"/>
  <c r="AG266"/>
  <c r="F246"/>
  <c r="F245" s="1"/>
  <c r="AG245"/>
  <c r="F267"/>
  <c r="F238"/>
  <c r="F237" s="1"/>
  <c r="AG237"/>
  <c r="F354"/>
  <c r="F355"/>
  <c r="F357"/>
  <c r="AG358"/>
  <c r="AG391"/>
  <c r="AG374"/>
  <c r="AG396"/>
  <c r="AG379"/>
  <c r="AG382"/>
  <c r="AG403"/>
  <c r="AG474"/>
  <c r="F496"/>
  <c r="F495" s="1"/>
  <c r="F494" s="1"/>
  <c r="F462"/>
  <c r="F503"/>
  <c r="F502" s="1"/>
  <c r="F501" s="1"/>
  <c r="AG503"/>
  <c r="F82"/>
  <c r="F210"/>
  <c r="F209" s="1"/>
  <c r="F207" s="1"/>
  <c r="F504"/>
  <c r="F497"/>
  <c r="F483"/>
  <c r="AG483"/>
  <c r="F468"/>
  <c r="AG468"/>
  <c r="F465"/>
  <c r="AG327"/>
  <c r="F322"/>
  <c r="F285"/>
  <c r="F283" s="1"/>
  <c r="AG283"/>
  <c r="F281"/>
  <c r="F275"/>
  <c r="F270"/>
  <c r="F269"/>
  <c r="AG268"/>
  <c r="F252"/>
  <c r="F250"/>
  <c r="F249" s="1"/>
  <c r="F182"/>
  <c r="F181" s="1"/>
  <c r="F179" s="1"/>
  <c r="AG179"/>
  <c r="AG158"/>
  <c r="AG95"/>
  <c r="F78"/>
  <c r="AG78"/>
  <c r="F74"/>
  <c r="F71"/>
  <c r="AG71"/>
  <c r="F42"/>
  <c r="AG15"/>
  <c r="AG16"/>
  <c r="AG17"/>
  <c r="AG20"/>
  <c r="AG21"/>
  <c r="AG22"/>
  <c r="AG27"/>
  <c r="AG29"/>
  <c r="AH29" s="1"/>
  <c r="AG30"/>
  <c r="AG31"/>
  <c r="AG32"/>
  <c r="AG33"/>
  <c r="AG34"/>
  <c r="AG35"/>
  <c r="AG36"/>
  <c r="AG37"/>
  <c r="AH37" s="1"/>
  <c r="AG38"/>
  <c r="AH38" s="1"/>
  <c r="AG41"/>
  <c r="AH41" s="1"/>
  <c r="AG42"/>
  <c r="AG43"/>
  <c r="AH43" s="1"/>
  <c r="AG44"/>
  <c r="AH44" s="1"/>
  <c r="AG45"/>
  <c r="AG46"/>
  <c r="AH46" s="1"/>
  <c r="AG47"/>
  <c r="AH47" s="1"/>
  <c r="AG48"/>
  <c r="AG49"/>
  <c r="AH49" s="1"/>
  <c r="AG50"/>
  <c r="AH50" s="1"/>
  <c r="AG52"/>
  <c r="AH52" s="1"/>
  <c r="AG55"/>
  <c r="AH55" s="1"/>
  <c r="AG56"/>
  <c r="AH56" s="1"/>
  <c r="AG57"/>
  <c r="AH57" s="1"/>
  <c r="AG58"/>
  <c r="AH58" s="1"/>
  <c r="AG59"/>
  <c r="AH59" s="1"/>
  <c r="AG60"/>
  <c r="AG63"/>
  <c r="AG64"/>
  <c r="AH64" s="1"/>
  <c r="AG66"/>
  <c r="AG67"/>
  <c r="AH67" s="1"/>
  <c r="AG69"/>
  <c r="AG72"/>
  <c r="AH72" s="1"/>
  <c r="AG73"/>
  <c r="AH73" s="1"/>
  <c r="AG74"/>
  <c r="AG75"/>
  <c r="AH75" s="1"/>
  <c r="AG76"/>
  <c r="AH76" s="1"/>
  <c r="AG79"/>
  <c r="AH79" s="1"/>
  <c r="AG81"/>
  <c r="AH81" s="1"/>
  <c r="AG82"/>
  <c r="AG83"/>
  <c r="AH83" s="1"/>
  <c r="AG84"/>
  <c r="AH84" s="1"/>
  <c r="AG85"/>
  <c r="AG86"/>
  <c r="AH86" s="1"/>
  <c r="AG87"/>
  <c r="AG88"/>
  <c r="AG90"/>
  <c r="AG91"/>
  <c r="AG92"/>
  <c r="AG93"/>
  <c r="AH93" s="1"/>
  <c r="AG94"/>
  <c r="AG96"/>
  <c r="AH96" s="1"/>
  <c r="AG97"/>
  <c r="AH97" s="1"/>
  <c r="AG98"/>
  <c r="AH98" s="1"/>
  <c r="AG99"/>
  <c r="AH99" s="1"/>
  <c r="AG107"/>
  <c r="AG108"/>
  <c r="AH108" s="1"/>
  <c r="AG111"/>
  <c r="AH111" s="1"/>
  <c r="AG101"/>
  <c r="AG112"/>
  <c r="AG113"/>
  <c r="AH113" s="1"/>
  <c r="AG114"/>
  <c r="AH114" s="1"/>
  <c r="AG116"/>
  <c r="AH116" s="1"/>
  <c r="AG117"/>
  <c r="AH117" s="1"/>
  <c r="AG118"/>
  <c r="AH118" s="1"/>
  <c r="AG119"/>
  <c r="AH119" s="1"/>
  <c r="AG120"/>
  <c r="AG123"/>
  <c r="AG124"/>
  <c r="AG125"/>
  <c r="AG126"/>
  <c r="AG129"/>
  <c r="AG131"/>
  <c r="AG132"/>
  <c r="AG133"/>
  <c r="AG134"/>
  <c r="AG135"/>
  <c r="AG154"/>
  <c r="AG155"/>
  <c r="AH155" s="1"/>
  <c r="AG157"/>
  <c r="AH157" s="1"/>
  <c r="AG139"/>
  <c r="AG140"/>
  <c r="AH140" s="1"/>
  <c r="AG159"/>
  <c r="AH159" s="1"/>
  <c r="AG160"/>
  <c r="AH160" s="1"/>
  <c r="AG162"/>
  <c r="AG163"/>
  <c r="AH163" s="1"/>
  <c r="AG164"/>
  <c r="AG165"/>
  <c r="AG168"/>
  <c r="AG169"/>
  <c r="AG174"/>
  <c r="AG175"/>
  <c r="AH175" s="1"/>
  <c r="AG176"/>
  <c r="AG177"/>
  <c r="AG180"/>
  <c r="AH180" s="1"/>
  <c r="AG181"/>
  <c r="AG182"/>
  <c r="AG183"/>
  <c r="AH183" s="1"/>
  <c r="AG184"/>
  <c r="AG185"/>
  <c r="AH185" s="1"/>
  <c r="AG186"/>
  <c r="AG187"/>
  <c r="AG189"/>
  <c r="AG190"/>
  <c r="AG194"/>
  <c r="AG195"/>
  <c r="AG196"/>
  <c r="AG197"/>
  <c r="AG198"/>
  <c r="AH198" s="1"/>
  <c r="AG199"/>
  <c r="AH199" s="1"/>
  <c r="AG200"/>
  <c r="AH200" s="1"/>
  <c r="AG202"/>
  <c r="AH202" s="1"/>
  <c r="AG203"/>
  <c r="AH203" s="1"/>
  <c r="AG204"/>
  <c r="AH204" s="1"/>
  <c r="AG205"/>
  <c r="AH205" s="1"/>
  <c r="AG207"/>
  <c r="AG208"/>
  <c r="AH208" s="1"/>
  <c r="AG209"/>
  <c r="AG210"/>
  <c r="AG211"/>
  <c r="AH211" s="1"/>
  <c r="AG222"/>
  <c r="AG223"/>
  <c r="AG224"/>
  <c r="AG225"/>
  <c r="AG226"/>
  <c r="AG227"/>
  <c r="AG228"/>
  <c r="AG229"/>
  <c r="AG230"/>
  <c r="AG231"/>
  <c r="AG234"/>
  <c r="AG235"/>
  <c r="AG236"/>
  <c r="AG238"/>
  <c r="AG239"/>
  <c r="AG240"/>
  <c r="AH240" s="1"/>
  <c r="AG241"/>
  <c r="AG242"/>
  <c r="AG243"/>
  <c r="AG244"/>
  <c r="AG246"/>
  <c r="AG247"/>
  <c r="AG248"/>
  <c r="AH248" s="1"/>
  <c r="AG249"/>
  <c r="AG250"/>
  <c r="AG251"/>
  <c r="AH251" s="1"/>
  <c r="AG252"/>
  <c r="AG253"/>
  <c r="AH253" s="1"/>
  <c r="AG254"/>
  <c r="AH254" s="1"/>
  <c r="AG255"/>
  <c r="AH255" s="1"/>
  <c r="AG256"/>
  <c r="AH256" s="1"/>
  <c r="AG257"/>
  <c r="AG258"/>
  <c r="AG259"/>
  <c r="AG260"/>
  <c r="AG261"/>
  <c r="AG262"/>
  <c r="AG263"/>
  <c r="AG264"/>
  <c r="AG265"/>
  <c r="AG267"/>
  <c r="AG269"/>
  <c r="AG270"/>
  <c r="AG271"/>
  <c r="AH271" s="1"/>
  <c r="AG272"/>
  <c r="AH272" s="1"/>
  <c r="AG273"/>
  <c r="AH273" s="1"/>
  <c r="AG274"/>
  <c r="AH274" s="1"/>
  <c r="AG275"/>
  <c r="AG276"/>
  <c r="AH276" s="1"/>
  <c r="AG277"/>
  <c r="AH277" s="1"/>
  <c r="AG278"/>
  <c r="AH278" s="1"/>
  <c r="AG279"/>
  <c r="AH279" s="1"/>
  <c r="AG280"/>
  <c r="AH280" s="1"/>
  <c r="AG281"/>
  <c r="AG282"/>
  <c r="AH282" s="1"/>
  <c r="AG284"/>
  <c r="AH284" s="1"/>
  <c r="AG285"/>
  <c r="AG286"/>
  <c r="AH286" s="1"/>
  <c r="AG287"/>
  <c r="AG288"/>
  <c r="AG289"/>
  <c r="AG290"/>
  <c r="AG294"/>
  <c r="AG297"/>
  <c r="AG299"/>
  <c r="AG300"/>
  <c r="AG301"/>
  <c r="AH301" s="1"/>
  <c r="AG302"/>
  <c r="AH302" s="1"/>
  <c r="AG303"/>
  <c r="AH303" s="1"/>
  <c r="AG304"/>
  <c r="AH304" s="1"/>
  <c r="AG305"/>
  <c r="AH305" s="1"/>
  <c r="AG306"/>
  <c r="AH306" s="1"/>
  <c r="AG307"/>
  <c r="AG309"/>
  <c r="AG310"/>
  <c r="AH310" s="1"/>
  <c r="AG311"/>
  <c r="AH311" s="1"/>
  <c r="AG312"/>
  <c r="AH312" s="1"/>
  <c r="AG313"/>
  <c r="AH313" s="1"/>
  <c r="AG314"/>
  <c r="AH314" s="1"/>
  <c r="AG315"/>
  <c r="AH315" s="1"/>
  <c r="AG316"/>
  <c r="AG322"/>
  <c r="AG323"/>
  <c r="AH323" s="1"/>
  <c r="AG324"/>
  <c r="AH324" s="1"/>
  <c r="AG325"/>
  <c r="AH325" s="1"/>
  <c r="AG326"/>
  <c r="AH326" s="1"/>
  <c r="AG328"/>
  <c r="AH328" s="1"/>
  <c r="AG329"/>
  <c r="AH329" s="1"/>
  <c r="AG330"/>
  <c r="AH330" s="1"/>
  <c r="AG331"/>
  <c r="AH331" s="1"/>
  <c r="AG342"/>
  <c r="AG344"/>
  <c r="AG352"/>
  <c r="AG353"/>
  <c r="AG354"/>
  <c r="AG355"/>
  <c r="AG356"/>
  <c r="AG357"/>
  <c r="AG359"/>
  <c r="AG360"/>
  <c r="AH360" s="1"/>
  <c r="AG361"/>
  <c r="AH361" s="1"/>
  <c r="AG362"/>
  <c r="AH362" s="1"/>
  <c r="AG363"/>
  <c r="AH363" s="1"/>
  <c r="AG364"/>
  <c r="AH364" s="1"/>
  <c r="AG365"/>
  <c r="AG369"/>
  <c r="AG370"/>
  <c r="AG372"/>
  <c r="AG373"/>
  <c r="AG375"/>
  <c r="AG378"/>
  <c r="AG380"/>
  <c r="AG383"/>
  <c r="AG384"/>
  <c r="AG385"/>
  <c r="AG386"/>
  <c r="AG387"/>
  <c r="AH387" s="1"/>
  <c r="AG388"/>
  <c r="AG390"/>
  <c r="AG392"/>
  <c r="AG393"/>
  <c r="AG397"/>
  <c r="AG398"/>
  <c r="AG400"/>
  <c r="AG401"/>
  <c r="AG402"/>
  <c r="AG411"/>
  <c r="AG412"/>
  <c r="AH412" s="1"/>
  <c r="AG413"/>
  <c r="AH413" s="1"/>
  <c r="AG415"/>
  <c r="AH415" s="1"/>
  <c r="AG419"/>
  <c r="AH419" s="1"/>
  <c r="AG420"/>
  <c r="AH420" s="1"/>
  <c r="AG422"/>
  <c r="AH422" s="1"/>
  <c r="AG423"/>
  <c r="AH423" s="1"/>
  <c r="AG425"/>
  <c r="AH425" s="1"/>
  <c r="AG438"/>
  <c r="AG439"/>
  <c r="AH439" s="1"/>
  <c r="AG440"/>
  <c r="AH440" s="1"/>
  <c r="AG442"/>
  <c r="AH442" s="1"/>
  <c r="AG443"/>
  <c r="AH443" s="1"/>
  <c r="AG444"/>
  <c r="AH444" s="1"/>
  <c r="AG458"/>
  <c r="AG459"/>
  <c r="AG460"/>
  <c r="AG461"/>
  <c r="AG462"/>
  <c r="AG465"/>
  <c r="AG466"/>
  <c r="AH466" s="1"/>
  <c r="AG467"/>
  <c r="AH467" s="1"/>
  <c r="AG469"/>
  <c r="AH469" s="1"/>
  <c r="AG470"/>
  <c r="AH470" s="1"/>
  <c r="AG471"/>
  <c r="AH471" s="1"/>
  <c r="AG472"/>
  <c r="AG473"/>
  <c r="AG477"/>
  <c r="AG478"/>
  <c r="AG479"/>
  <c r="AG484"/>
  <c r="AH484" s="1"/>
  <c r="AG485"/>
  <c r="AH485" s="1"/>
  <c r="AG486"/>
  <c r="AH486" s="1"/>
  <c r="AG487"/>
  <c r="AH487" s="1"/>
  <c r="AG490"/>
  <c r="AH490" s="1"/>
  <c r="AG493"/>
  <c r="AG494"/>
  <c r="AG495"/>
  <c r="AG496"/>
  <c r="AG497"/>
  <c r="AG498"/>
  <c r="AH498" s="1"/>
  <c r="AG499"/>
  <c r="AH499" s="1"/>
  <c r="AG500"/>
  <c r="AG501"/>
  <c r="AG502"/>
  <c r="AG504"/>
  <c r="AG505"/>
  <c r="AH505" s="1"/>
  <c r="AG506"/>
  <c r="AH506" s="1"/>
  <c r="AG507"/>
  <c r="AG14"/>
  <c r="G269"/>
  <c r="G268" s="1"/>
  <c r="AJ268" s="1"/>
  <c r="D82"/>
  <c r="G504"/>
  <c r="AJ504" s="1"/>
  <c r="AJ419"/>
  <c r="AK419" s="1"/>
  <c r="G270"/>
  <c r="AJ270" s="1"/>
  <c r="D270"/>
  <c r="AR272"/>
  <c r="AJ272"/>
  <c r="G82"/>
  <c r="G210"/>
  <c r="J13"/>
  <c r="K13"/>
  <c r="L13"/>
  <c r="M13"/>
  <c r="N13"/>
  <c r="O13"/>
  <c r="I13"/>
  <c r="P13"/>
  <c r="Q13"/>
  <c r="R13"/>
  <c r="S13"/>
  <c r="T13"/>
  <c r="U13"/>
  <c r="V13"/>
  <c r="W13"/>
  <c r="X13"/>
  <c r="Y13"/>
  <c r="Z13"/>
  <c r="AA13"/>
  <c r="AB13"/>
  <c r="AC13"/>
  <c r="AD13"/>
  <c r="AG508"/>
  <c r="AH508" s="1"/>
  <c r="AG509"/>
  <c r="AH509" s="1"/>
  <c r="AG510"/>
  <c r="AH510" s="1"/>
  <c r="AG511"/>
  <c r="AH511" s="1"/>
  <c r="AG512"/>
  <c r="AH512" s="1"/>
  <c r="G252"/>
  <c r="AJ252" s="1"/>
  <c r="D252"/>
  <c r="AG513"/>
  <c r="AH513" s="1"/>
  <c r="D269"/>
  <c r="D268" s="1"/>
  <c r="AR191"/>
  <c r="AJ64"/>
  <c r="AK64" s="1"/>
  <c r="AJ29"/>
  <c r="AL29" s="1"/>
  <c r="AJ36"/>
  <c r="AJ41"/>
  <c r="AL41" s="1"/>
  <c r="G42"/>
  <c r="AJ42" s="1"/>
  <c r="AJ44"/>
  <c r="AK44" s="1"/>
  <c r="AJ45"/>
  <c r="AK45" s="1"/>
  <c r="AJ46"/>
  <c r="AK46" s="1"/>
  <c r="AJ56"/>
  <c r="AK56" s="1"/>
  <c r="AJ57"/>
  <c r="AK57" s="1"/>
  <c r="AJ59"/>
  <c r="AL59" s="1"/>
  <c r="G71"/>
  <c r="AJ71" s="1"/>
  <c r="AJ73"/>
  <c r="AK73" s="1"/>
  <c r="G74"/>
  <c r="AJ74" s="1"/>
  <c r="AJ76"/>
  <c r="G78"/>
  <c r="AJ78" s="1"/>
  <c r="AJ81"/>
  <c r="AJ84"/>
  <c r="AK84" s="1"/>
  <c r="AJ93"/>
  <c r="AL93" s="1"/>
  <c r="AJ97"/>
  <c r="AK97" s="1"/>
  <c r="AJ98"/>
  <c r="AK98" s="1"/>
  <c r="AJ108"/>
  <c r="AJ111"/>
  <c r="AK111" s="1"/>
  <c r="AJ117"/>
  <c r="AJ118"/>
  <c r="AK118" s="1"/>
  <c r="AJ119"/>
  <c r="AL119" s="1"/>
  <c r="AJ157"/>
  <c r="AL157" s="1"/>
  <c r="AJ139"/>
  <c r="AJ158"/>
  <c r="AJ160"/>
  <c r="AK160" s="1"/>
  <c r="AJ199"/>
  <c r="AL199" s="1"/>
  <c r="AJ200"/>
  <c r="AL200" s="1"/>
  <c r="AJ202"/>
  <c r="AK202" s="1"/>
  <c r="AJ203"/>
  <c r="AJ204"/>
  <c r="AL204" s="1"/>
  <c r="AJ205"/>
  <c r="AK205" s="1"/>
  <c r="AJ211"/>
  <c r="AL211" s="1"/>
  <c r="G250"/>
  <c r="G249" s="1"/>
  <c r="AJ251"/>
  <c r="AL251" s="1"/>
  <c r="AJ254"/>
  <c r="AK254" s="1"/>
  <c r="AJ255"/>
  <c r="AK255" s="1"/>
  <c r="AJ256"/>
  <c r="AL256" s="1"/>
  <c r="AJ273"/>
  <c r="AK273" s="1"/>
  <c r="AJ274"/>
  <c r="AL274" s="1"/>
  <c r="G275"/>
  <c r="AJ275" s="1"/>
  <c r="AJ277"/>
  <c r="AJ278"/>
  <c r="AK278" s="1"/>
  <c r="AJ279"/>
  <c r="AK279" s="1"/>
  <c r="AJ280"/>
  <c r="G281"/>
  <c r="AJ281" s="1"/>
  <c r="AJ282"/>
  <c r="AK282" s="1"/>
  <c r="G285"/>
  <c r="G283" s="1"/>
  <c r="AJ283" s="1"/>
  <c r="AJ284"/>
  <c r="AJ286"/>
  <c r="AK286" s="1"/>
  <c r="AJ304"/>
  <c r="AK304" s="1"/>
  <c r="AJ305"/>
  <c r="AL305" s="1"/>
  <c r="AJ306"/>
  <c r="AL306" s="1"/>
  <c r="AJ312"/>
  <c r="AK312" s="1"/>
  <c r="AJ314"/>
  <c r="AK314" s="1"/>
  <c r="AJ315"/>
  <c r="AK315" s="1"/>
  <c r="G322"/>
  <c r="AJ322" s="1"/>
  <c r="AJ324"/>
  <c r="AK324" s="1"/>
  <c r="AJ325"/>
  <c r="AL325" s="1"/>
  <c r="AJ326"/>
  <c r="AL326" s="1"/>
  <c r="AJ327"/>
  <c r="AJ361"/>
  <c r="AK361" s="1"/>
  <c r="AJ363"/>
  <c r="AK363" s="1"/>
  <c r="AJ364"/>
  <c r="AK364" s="1"/>
  <c r="AJ413"/>
  <c r="AK413" s="1"/>
  <c r="AJ443"/>
  <c r="AK443" s="1"/>
  <c r="AJ444"/>
  <c r="AK444" s="1"/>
  <c r="G465"/>
  <c r="AJ465" s="1"/>
  <c r="AJ467"/>
  <c r="AK467" s="1"/>
  <c r="AJ470"/>
  <c r="AL470" s="1"/>
  <c r="AJ485"/>
  <c r="AL485" s="1"/>
  <c r="AL490"/>
  <c r="G497"/>
  <c r="AJ497" s="1"/>
  <c r="AJ499"/>
  <c r="AK499" s="1"/>
  <c r="AJ506"/>
  <c r="AK506" s="1"/>
  <c r="D210"/>
  <c r="D209" s="1"/>
  <c r="AE13"/>
  <c r="D465"/>
  <c r="AR467"/>
  <c r="AR466"/>
  <c r="AR465"/>
  <c r="D468"/>
  <c r="AR470"/>
  <c r="AR211"/>
  <c r="AR210"/>
  <c r="AR209"/>
  <c r="AR208"/>
  <c r="AR207"/>
  <c r="AR505"/>
  <c r="AR504"/>
  <c r="D504"/>
  <c r="AR503"/>
  <c r="AR502"/>
  <c r="AR501"/>
  <c r="AR500"/>
  <c r="E16" i="16"/>
  <c r="E14" s="1"/>
  <c r="H14" s="1"/>
  <c r="D16"/>
  <c r="D14" s="1"/>
  <c r="D22"/>
  <c r="AR79" i="15"/>
  <c r="D78"/>
  <c r="AR75"/>
  <c r="D497"/>
  <c r="D322"/>
  <c r="D285"/>
  <c r="D283" s="1"/>
  <c r="D281"/>
  <c r="D275"/>
  <c r="D250"/>
  <c r="D249" s="1"/>
  <c r="D182"/>
  <c r="D181" s="1"/>
  <c r="D179" s="1"/>
  <c r="D71"/>
  <c r="D42"/>
  <c r="AL419"/>
  <c r="AR282"/>
  <c r="AR281"/>
  <c r="AR344"/>
  <c r="AR342"/>
  <c r="AR190"/>
  <c r="AR199"/>
  <c r="AR198"/>
  <c r="AR197"/>
  <c r="AR169"/>
  <c r="AR168"/>
  <c r="AR165"/>
  <c r="AR164"/>
  <c r="AR163"/>
  <c r="AR162"/>
  <c r="AR187"/>
  <c r="AR186"/>
  <c r="AR185"/>
  <c r="AR184"/>
  <c r="AR72"/>
  <c r="AR178"/>
  <c r="AR177"/>
  <c r="AR176"/>
  <c r="AR175"/>
  <c r="AL175"/>
  <c r="AK175"/>
  <c r="AR174"/>
  <c r="AR362"/>
  <c r="AR498"/>
  <c r="AR497"/>
  <c r="AR496"/>
  <c r="AR495"/>
  <c r="AR494"/>
  <c r="AR493"/>
  <c r="AR267"/>
  <c r="AR280"/>
  <c r="AK47"/>
  <c r="AK155"/>
  <c r="AK180"/>
  <c r="AK240"/>
  <c r="AK248"/>
  <c r="AK508"/>
  <c r="AK509"/>
  <c r="AK510"/>
  <c r="AK511"/>
  <c r="AK512"/>
  <c r="AL508"/>
  <c r="AL509"/>
  <c r="AL510"/>
  <c r="AL511"/>
  <c r="AL512"/>
  <c r="AR41"/>
  <c r="AR42"/>
  <c r="AR43"/>
  <c r="AR44"/>
  <c r="AR45"/>
  <c r="AR46"/>
  <c r="AR47"/>
  <c r="AR48"/>
  <c r="AR49"/>
  <c r="AR50"/>
  <c r="AR52"/>
  <c r="AR55"/>
  <c r="AR56"/>
  <c r="AR57"/>
  <c r="AR58"/>
  <c r="AR59"/>
  <c r="AR60"/>
  <c r="AR66"/>
  <c r="AR67"/>
  <c r="AR69"/>
  <c r="AR82"/>
  <c r="AR83"/>
  <c r="AR84"/>
  <c r="AR95"/>
  <c r="AR97"/>
  <c r="AR98"/>
  <c r="AR99"/>
  <c r="AR101"/>
  <c r="AR112"/>
  <c r="AR113"/>
  <c r="AR114"/>
  <c r="AR116"/>
  <c r="AR117"/>
  <c r="AR118"/>
  <c r="AR119"/>
  <c r="AR120"/>
  <c r="AR123"/>
  <c r="AR124"/>
  <c r="AR125"/>
  <c r="AR126"/>
  <c r="AR129"/>
  <c r="AR131"/>
  <c r="AR132"/>
  <c r="AR133"/>
  <c r="AR134"/>
  <c r="AR135"/>
  <c r="AR154"/>
  <c r="AR155"/>
  <c r="AR157"/>
  <c r="AR139"/>
  <c r="AR140"/>
  <c r="AR158"/>
  <c r="AR159"/>
  <c r="AR160"/>
  <c r="AR179"/>
  <c r="AR180"/>
  <c r="AR181"/>
  <c r="AR182"/>
  <c r="AR183"/>
  <c r="AR222"/>
  <c r="AR223"/>
  <c r="AR224"/>
  <c r="AR226"/>
  <c r="AR228"/>
  <c r="AR229"/>
  <c r="AR230"/>
  <c r="AR231"/>
  <c r="AR233"/>
  <c r="AR234"/>
  <c r="AR235"/>
  <c r="AR236"/>
  <c r="AR237"/>
  <c r="AR238"/>
  <c r="AR239"/>
  <c r="AR240"/>
  <c r="AR241"/>
  <c r="AR242"/>
  <c r="AR243"/>
  <c r="AR244"/>
  <c r="AR245"/>
  <c r="AR246"/>
  <c r="AR247"/>
  <c r="AR248"/>
  <c r="AR249"/>
  <c r="AR250"/>
  <c r="AR251"/>
  <c r="AR252"/>
  <c r="AR253"/>
  <c r="AR254"/>
  <c r="AR255"/>
  <c r="AR256"/>
  <c r="AR257"/>
  <c r="AR258"/>
  <c r="AR262"/>
  <c r="AR263"/>
  <c r="AR265"/>
  <c r="AR266"/>
  <c r="AR268"/>
  <c r="AR269"/>
  <c r="AR275"/>
  <c r="AR276"/>
  <c r="AR279"/>
  <c r="AR270"/>
  <c r="AR271"/>
  <c r="AR273"/>
  <c r="AR283"/>
  <c r="AR284"/>
  <c r="AR285"/>
  <c r="AR286"/>
  <c r="AR287"/>
  <c r="AR288"/>
  <c r="AR289"/>
  <c r="AR291"/>
  <c r="AR293"/>
  <c r="AR294"/>
  <c r="AR297"/>
  <c r="AR298"/>
  <c r="AR299"/>
  <c r="AR300"/>
  <c r="AR301"/>
  <c r="AR302"/>
  <c r="AR303"/>
  <c r="AR304"/>
  <c r="AR305"/>
  <c r="AR306"/>
  <c r="AR307"/>
  <c r="AR309"/>
  <c r="AR310"/>
  <c r="AR313"/>
  <c r="AR314"/>
  <c r="AR315"/>
  <c r="AR316"/>
  <c r="AR322"/>
  <c r="AR323"/>
  <c r="AR325"/>
  <c r="AR326"/>
  <c r="AR327"/>
  <c r="AR328"/>
  <c r="AR329"/>
  <c r="AR330"/>
  <c r="AR331"/>
  <c r="AR352"/>
  <c r="AR353"/>
  <c r="AR354"/>
  <c r="AR355"/>
  <c r="AR356"/>
  <c r="AR357"/>
  <c r="AR358"/>
  <c r="AR359"/>
  <c r="AR360"/>
  <c r="AR363"/>
  <c r="AR364"/>
  <c r="AR365"/>
  <c r="AR369"/>
  <c r="AR370"/>
  <c r="AR372"/>
  <c r="AR373"/>
  <c r="AR374"/>
  <c r="AR375"/>
  <c r="AR378"/>
  <c r="AR379"/>
  <c r="AR380"/>
  <c r="AR382"/>
  <c r="AR383"/>
  <c r="AR384"/>
  <c r="AR385"/>
  <c r="AR386"/>
  <c r="AR387"/>
  <c r="AR388"/>
  <c r="AR390"/>
  <c r="AR391"/>
  <c r="AR392"/>
  <c r="AR393"/>
  <c r="AR396"/>
  <c r="AR397"/>
  <c r="AR398"/>
  <c r="AR400"/>
  <c r="AR401"/>
  <c r="AR402"/>
  <c r="AR403"/>
  <c r="AR411"/>
  <c r="AR412"/>
  <c r="AR413"/>
  <c r="AR415"/>
  <c r="AR419"/>
  <c r="AR420"/>
  <c r="AR422"/>
  <c r="AR423"/>
  <c r="AR425"/>
  <c r="AR438"/>
  <c r="AR439"/>
  <c r="AR440"/>
  <c r="AR442"/>
  <c r="AR443"/>
  <c r="AR444"/>
  <c r="AR472"/>
  <c r="AR473"/>
  <c r="AR477"/>
  <c r="AR478"/>
  <c r="AR479"/>
  <c r="AR483"/>
  <c r="AR484"/>
  <c r="AR487"/>
  <c r="AR490"/>
  <c r="AR458"/>
  <c r="AR459"/>
  <c r="AR460"/>
  <c r="AR461"/>
  <c r="AR468"/>
  <c r="AR469"/>
  <c r="AR471"/>
  <c r="AR507"/>
  <c r="AR38"/>
  <c r="H19" i="16"/>
  <c r="I19" s="1"/>
  <c r="I20"/>
  <c r="H23"/>
  <c r="I23" s="1"/>
  <c r="AL413" i="15"/>
  <c r="AL47"/>
  <c r="AL155"/>
  <c r="AL180"/>
  <c r="AL240"/>
  <c r="AL248"/>
  <c r="AJ471"/>
  <c r="AL471" s="1"/>
  <c r="AL423"/>
  <c r="AJ423"/>
  <c r="AK423" s="1"/>
  <c r="G182"/>
  <c r="AJ233"/>
  <c r="AK233" s="1"/>
  <c r="D299" l="1"/>
  <c r="D297" s="1"/>
  <c r="G166"/>
  <c r="G187"/>
  <c r="D166"/>
  <c r="D187"/>
  <c r="D186" s="1"/>
  <c r="AL408"/>
  <c r="AK408"/>
  <c r="F228"/>
  <c r="D87"/>
  <c r="D85" s="1"/>
  <c r="G393"/>
  <c r="F27"/>
  <c r="F22" s="1"/>
  <c r="F88"/>
  <c r="AK379"/>
  <c r="AK381"/>
  <c r="F16"/>
  <c r="AH16" s="1"/>
  <c r="D479"/>
  <c r="D477" s="1"/>
  <c r="D472" s="1"/>
  <c r="G479"/>
  <c r="AS479" s="1"/>
  <c r="AJ481"/>
  <c r="AL481" s="1"/>
  <c r="F403"/>
  <c r="F401" s="1"/>
  <c r="F393"/>
  <c r="AS26"/>
  <c r="AJ26"/>
  <c r="D309"/>
  <c r="F378"/>
  <c r="D27"/>
  <c r="D22" s="1"/>
  <c r="F309"/>
  <c r="AH309" s="1"/>
  <c r="AJ344"/>
  <c r="AK344" s="1"/>
  <c r="D228"/>
  <c r="G149"/>
  <c r="G145" s="1"/>
  <c r="G129"/>
  <c r="AJ151"/>
  <c r="AL153"/>
  <c r="AK153"/>
  <c r="AJ171"/>
  <c r="G170"/>
  <c r="AJ170" s="1"/>
  <c r="AK368"/>
  <c r="AL368"/>
  <c r="AS231"/>
  <c r="F172"/>
  <c r="AS152"/>
  <c r="D66"/>
  <c r="D35"/>
  <c r="D33" s="1"/>
  <c r="D32"/>
  <c r="AK491"/>
  <c r="AK464"/>
  <c r="AL463"/>
  <c r="AK463"/>
  <c r="AS465"/>
  <c r="AJ483"/>
  <c r="AK483" s="1"/>
  <c r="AJ486"/>
  <c r="AJ415"/>
  <c r="AK415" s="1"/>
  <c r="AJ116"/>
  <c r="AK116" s="1"/>
  <c r="AS266"/>
  <c r="AS244"/>
  <c r="AS195"/>
  <c r="AJ429"/>
  <c r="AK429" s="1"/>
  <c r="AH220"/>
  <c r="AH91"/>
  <c r="AS400"/>
  <c r="AL422"/>
  <c r="AJ303"/>
  <c r="AK303" s="1"/>
  <c r="G66"/>
  <c r="AS66" s="1"/>
  <c r="G21"/>
  <c r="G407"/>
  <c r="AS429"/>
  <c r="AJ362"/>
  <c r="AL362" s="1"/>
  <c r="G354"/>
  <c r="AJ354" s="1"/>
  <c r="AK354" s="1"/>
  <c r="AJ60"/>
  <c r="AL60" s="1"/>
  <c r="AJ58"/>
  <c r="AK58" s="1"/>
  <c r="AS196"/>
  <c r="G90"/>
  <c r="G371"/>
  <c r="AJ371" s="1"/>
  <c r="AK371" s="1"/>
  <c r="AJ345"/>
  <c r="AK345" s="1"/>
  <c r="AJ359"/>
  <c r="AS473"/>
  <c r="AJ420"/>
  <c r="AK420" s="1"/>
  <c r="G23"/>
  <c r="AS313"/>
  <c r="AJ52"/>
  <c r="AL52" s="1"/>
  <c r="AS381"/>
  <c r="AS215"/>
  <c r="AJ422"/>
  <c r="AK422" s="1"/>
  <c r="AS267"/>
  <c r="AL414"/>
  <c r="AJ135"/>
  <c r="AK135" s="1"/>
  <c r="AS154"/>
  <c r="G410"/>
  <c r="AS442"/>
  <c r="AJ63"/>
  <c r="AL63" s="1"/>
  <c r="G404"/>
  <c r="AS426"/>
  <c r="AS82"/>
  <c r="AS264"/>
  <c r="AS260"/>
  <c r="AS481"/>
  <c r="AS398"/>
  <c r="AS210"/>
  <c r="AS468"/>
  <c r="G373"/>
  <c r="AJ373" s="1"/>
  <c r="AJ50"/>
  <c r="AL50" s="1"/>
  <c r="AS249"/>
  <c r="AS237"/>
  <c r="AS220"/>
  <c r="AS246"/>
  <c r="AS28"/>
  <c r="AS379"/>
  <c r="AS193"/>
  <c r="AS461"/>
  <c r="AS120"/>
  <c r="AS182"/>
  <c r="AS169"/>
  <c r="AS190"/>
  <c r="G374"/>
  <c r="AJ374" s="1"/>
  <c r="AK374" s="1"/>
  <c r="AK106"/>
  <c r="D172"/>
  <c r="AJ104"/>
  <c r="AK104" s="1"/>
  <c r="F219"/>
  <c r="AH219" s="1"/>
  <c r="AL221"/>
  <c r="AJ193"/>
  <c r="AK193" s="1"/>
  <c r="F192"/>
  <c r="AS504"/>
  <c r="AS500"/>
  <c r="AS496"/>
  <c r="AS478"/>
  <c r="AS454"/>
  <c r="AS344"/>
  <c r="AS307"/>
  <c r="AS292"/>
  <c r="AS268"/>
  <c r="AS252"/>
  <c r="AS135"/>
  <c r="AS78"/>
  <c r="AS74"/>
  <c r="AJ195"/>
  <c r="AL195" s="1"/>
  <c r="G192"/>
  <c r="G173"/>
  <c r="AS501"/>
  <c r="AS497"/>
  <c r="AS462"/>
  <c r="AS455"/>
  <c r="AS399"/>
  <c r="AS322"/>
  <c r="AS294"/>
  <c r="AS285"/>
  <c r="AS281"/>
  <c r="AS269"/>
  <c r="AS261"/>
  <c r="AS191"/>
  <c r="AS105"/>
  <c r="AS71"/>
  <c r="AS31"/>
  <c r="AK68"/>
  <c r="AJ196"/>
  <c r="AK196" s="1"/>
  <c r="D192"/>
  <c r="AS502"/>
  <c r="AS482"/>
  <c r="AS456"/>
  <c r="AS402"/>
  <c r="AS384"/>
  <c r="AS346"/>
  <c r="AS327"/>
  <c r="AS270"/>
  <c r="AS250"/>
  <c r="AS238"/>
  <c r="AS76"/>
  <c r="AS42"/>
  <c r="AS34"/>
  <c r="AS300"/>
  <c r="AL105"/>
  <c r="AH215"/>
  <c r="AJ191"/>
  <c r="AL191" s="1"/>
  <c r="AS503"/>
  <c r="AS405"/>
  <c r="AS357"/>
  <c r="AS290"/>
  <c r="AS283"/>
  <c r="AS275"/>
  <c r="AS263"/>
  <c r="AS243"/>
  <c r="AS227"/>
  <c r="AS197"/>
  <c r="AS189"/>
  <c r="AS139"/>
  <c r="AS69"/>
  <c r="AS107"/>
  <c r="AS448"/>
  <c r="AS397"/>
  <c r="AS316"/>
  <c r="AS298"/>
  <c r="AS158"/>
  <c r="AS36"/>
  <c r="AJ440"/>
  <c r="AK440" s="1"/>
  <c r="AJ302"/>
  <c r="AL302" s="1"/>
  <c r="G438"/>
  <c r="AJ114"/>
  <c r="AL114" s="1"/>
  <c r="G17"/>
  <c r="G228"/>
  <c r="AS91"/>
  <c r="AK105"/>
  <c r="F214"/>
  <c r="AH214" s="1"/>
  <c r="AL216"/>
  <c r="G219"/>
  <c r="AS219" s="1"/>
  <c r="AJ220"/>
  <c r="AK220" s="1"/>
  <c r="AJ311"/>
  <c r="AL311" s="1"/>
  <c r="AJ55"/>
  <c r="AL55" s="1"/>
  <c r="AK102"/>
  <c r="AH95"/>
  <c r="AJ99"/>
  <c r="AK99" s="1"/>
  <c r="AL420"/>
  <c r="G291"/>
  <c r="G214"/>
  <c r="AS214" s="1"/>
  <c r="AJ215"/>
  <c r="AK215" s="1"/>
  <c r="AS225"/>
  <c r="AK405"/>
  <c r="AK448"/>
  <c r="AL454"/>
  <c r="F390"/>
  <c r="AH448"/>
  <c r="AL445"/>
  <c r="AH401"/>
  <c r="D388"/>
  <c r="AL405"/>
  <c r="F373"/>
  <c r="AL449"/>
  <c r="AK446"/>
  <c r="AL448"/>
  <c r="D401"/>
  <c r="AL399"/>
  <c r="AK399"/>
  <c r="G382"/>
  <c r="D168"/>
  <c r="AL366"/>
  <c r="D359"/>
  <c r="AK320"/>
  <c r="AL317"/>
  <c r="AL346"/>
  <c r="AH365"/>
  <c r="F359"/>
  <c r="AH359" s="1"/>
  <c r="AK321"/>
  <c r="AL318"/>
  <c r="AH344"/>
  <c r="AL319"/>
  <c r="G342"/>
  <c r="AK346"/>
  <c r="D169"/>
  <c r="F129"/>
  <c r="AH154"/>
  <c r="AJ154"/>
  <c r="AL154" s="1"/>
  <c r="AK327"/>
  <c r="AH243"/>
  <c r="G134"/>
  <c r="D134"/>
  <c r="D133" s="1"/>
  <c r="D132" s="1"/>
  <c r="F48"/>
  <c r="AH48" s="1"/>
  <c r="AL42"/>
  <c r="AL504"/>
  <c r="AL158"/>
  <c r="AH107"/>
  <c r="AL44"/>
  <c r="AJ107"/>
  <c r="AL107" s="1"/>
  <c r="AK261"/>
  <c r="F94"/>
  <c r="AH92" s="1"/>
  <c r="AK275"/>
  <c r="AK326"/>
  <c r="AK119"/>
  <c r="AH355"/>
  <c r="AH260"/>
  <c r="AK283"/>
  <c r="AH275"/>
  <c r="AK478"/>
  <c r="AL73"/>
  <c r="AH495"/>
  <c r="AK384"/>
  <c r="AL98"/>
  <c r="AH496"/>
  <c r="AH231"/>
  <c r="AH101"/>
  <c r="AH139"/>
  <c r="AK93"/>
  <c r="AH207"/>
  <c r="AJ397"/>
  <c r="AK397" s="1"/>
  <c r="AL46"/>
  <c r="AH400"/>
  <c r="AH63"/>
  <c r="AH293"/>
  <c r="AK500"/>
  <c r="G194"/>
  <c r="AL324"/>
  <c r="AL506"/>
  <c r="AJ250"/>
  <c r="AL250" s="1"/>
  <c r="AL304"/>
  <c r="AK41"/>
  <c r="AH209"/>
  <c r="AH411"/>
  <c r="AL281"/>
  <c r="AK252"/>
  <c r="AH36"/>
  <c r="F242"/>
  <c r="AH242" s="1"/>
  <c r="AK455"/>
  <c r="AK462"/>
  <c r="G259"/>
  <c r="AK31"/>
  <c r="AL76"/>
  <c r="AK29"/>
  <c r="AK199"/>
  <c r="AL278"/>
  <c r="AH69"/>
  <c r="AK34"/>
  <c r="AH227"/>
  <c r="AH374"/>
  <c r="AL84"/>
  <c r="AL71"/>
  <c r="AL298"/>
  <c r="AK36"/>
  <c r="AL315"/>
  <c r="AK256"/>
  <c r="AK281"/>
  <c r="AH189"/>
  <c r="AH322"/>
  <c r="AH266"/>
  <c r="AL51"/>
  <c r="D259"/>
  <c r="AK61"/>
  <c r="AL80"/>
  <c r="AL74"/>
  <c r="AH135"/>
  <c r="AJ468"/>
  <c r="AK468" s="1"/>
  <c r="AJ269"/>
  <c r="AK269" s="1"/>
  <c r="AK274"/>
  <c r="AL363"/>
  <c r="AK38"/>
  <c r="AL282"/>
  <c r="AK42"/>
  <c r="AJ238"/>
  <c r="AL238" s="1"/>
  <c r="AK76"/>
  <c r="AJ69"/>
  <c r="AK69" s="1"/>
  <c r="AH342"/>
  <c r="AH244"/>
  <c r="AH182"/>
  <c r="AK456"/>
  <c r="AK243"/>
  <c r="AH294"/>
  <c r="AL327"/>
  <c r="AK227"/>
  <c r="AL499"/>
  <c r="AK197"/>
  <c r="AJ292"/>
  <c r="AK292" s="1"/>
  <c r="AL202"/>
  <c r="F168"/>
  <c r="AH168" s="1"/>
  <c r="F125"/>
  <c r="F124" s="1"/>
  <c r="AJ398"/>
  <c r="AK398" s="1"/>
  <c r="AL496"/>
  <c r="AH27"/>
  <c r="AH250"/>
  <c r="D194"/>
  <c r="AJ503"/>
  <c r="AK503" s="1"/>
  <c r="AL273"/>
  <c r="AL160"/>
  <c r="AL45"/>
  <c r="AL255"/>
  <c r="AK305"/>
  <c r="AK157"/>
  <c r="AL111"/>
  <c r="AK485"/>
  <c r="AJ260"/>
  <c r="AK260" s="1"/>
  <c r="AJ120"/>
  <c r="AK268"/>
  <c r="AH307"/>
  <c r="AH285"/>
  <c r="AH197"/>
  <c r="AH179"/>
  <c r="AH465"/>
  <c r="AH494"/>
  <c r="AH379"/>
  <c r="AH357"/>
  <c r="AH237"/>
  <c r="AH261"/>
  <c r="AH228"/>
  <c r="AK65"/>
  <c r="AJ402"/>
  <c r="AH195"/>
  <c r="AJ502"/>
  <c r="AK502" s="1"/>
  <c r="AL254"/>
  <c r="AL118"/>
  <c r="AL314"/>
  <c r="AK270"/>
  <c r="AH392"/>
  <c r="AH60"/>
  <c r="AH17"/>
  <c r="AH391"/>
  <c r="AH112"/>
  <c r="AK80"/>
  <c r="AK59"/>
  <c r="AH74"/>
  <c r="AK62"/>
  <c r="AL57"/>
  <c r="AH190"/>
  <c r="AK122"/>
  <c r="AH226"/>
  <c r="D242"/>
  <c r="D241" s="1"/>
  <c r="AL233"/>
  <c r="AH502"/>
  <c r="F493"/>
  <c r="AH493" s="1"/>
  <c r="AK298"/>
  <c r="AK454"/>
  <c r="AJ285"/>
  <c r="AL97"/>
  <c r="AL444"/>
  <c r="AK139"/>
  <c r="D300"/>
  <c r="AH504"/>
  <c r="AH397"/>
  <c r="AH210"/>
  <c r="AH21"/>
  <c r="AH249"/>
  <c r="AH270"/>
  <c r="AH283"/>
  <c r="AH82"/>
  <c r="AL357"/>
  <c r="AH380"/>
  <c r="AH267"/>
  <c r="AL283"/>
  <c r="AK496"/>
  <c r="AL478"/>
  <c r="AK200"/>
  <c r="F265"/>
  <c r="AH265" s="1"/>
  <c r="AL467"/>
  <c r="AJ189"/>
  <c r="AK189" s="1"/>
  <c r="AL443"/>
  <c r="AK204"/>
  <c r="AK74"/>
  <c r="AH398"/>
  <c r="AJ290"/>
  <c r="AH90"/>
  <c r="AH158"/>
  <c r="AH281"/>
  <c r="AH473"/>
  <c r="AJ267"/>
  <c r="AK267" s="1"/>
  <c r="AL308"/>
  <c r="AL322"/>
  <c r="AL456"/>
  <c r="AH66"/>
  <c r="AH42"/>
  <c r="AH34"/>
  <c r="AH78"/>
  <c r="F500"/>
  <c r="AH500" s="1"/>
  <c r="AH501"/>
  <c r="AJ231"/>
  <c r="AL231" s="1"/>
  <c r="AL31"/>
  <c r="F247"/>
  <c r="AH247" s="1"/>
  <c r="AJ225"/>
  <c r="AK225" s="1"/>
  <c r="AL36"/>
  <c r="AL313"/>
  <c r="AK313"/>
  <c r="AH384"/>
  <c r="AK316"/>
  <c r="AL316"/>
  <c r="AL261"/>
  <c r="AK470"/>
  <c r="AH23"/>
  <c r="AK77"/>
  <c r="AS309"/>
  <c r="AL197"/>
  <c r="AL205"/>
  <c r="AL294"/>
  <c r="AL275"/>
  <c r="AH181"/>
  <c r="AH196"/>
  <c r="AH402"/>
  <c r="AH169"/>
  <c r="F194"/>
  <c r="AH194" s="1"/>
  <c r="AL442"/>
  <c r="AL364"/>
  <c r="AL286"/>
  <c r="AK183"/>
  <c r="AL312"/>
  <c r="AK322"/>
  <c r="AK497"/>
  <c r="G262"/>
  <c r="AK251"/>
  <c r="AL139"/>
  <c r="AH479"/>
  <c r="AH120"/>
  <c r="AH252"/>
  <c r="AH438"/>
  <c r="AH462"/>
  <c r="AH478"/>
  <c r="AH396"/>
  <c r="AH191"/>
  <c r="AH20"/>
  <c r="AS126"/>
  <c r="G30"/>
  <c r="AS30" s="1"/>
  <c r="G380"/>
  <c r="AS380" s="1"/>
  <c r="AH292"/>
  <c r="D265"/>
  <c r="D235"/>
  <c r="AH497"/>
  <c r="AH298"/>
  <c r="AL270"/>
  <c r="AL455"/>
  <c r="G265"/>
  <c r="F235"/>
  <c r="AH235" s="1"/>
  <c r="AK71"/>
  <c r="AL64"/>
  <c r="AL279"/>
  <c r="AK504"/>
  <c r="AJ263"/>
  <c r="AH246"/>
  <c r="AH461"/>
  <c r="AH263"/>
  <c r="AH71"/>
  <c r="AH300"/>
  <c r="AH327"/>
  <c r="AH483"/>
  <c r="AH503"/>
  <c r="AH474"/>
  <c r="AH245"/>
  <c r="AH291"/>
  <c r="AH28"/>
  <c r="AJ307"/>
  <c r="G112"/>
  <c r="AS112" s="1"/>
  <c r="D373"/>
  <c r="D372" s="1"/>
  <c r="AL56"/>
  <c r="AF13"/>
  <c r="AJ249"/>
  <c r="AL249" s="1"/>
  <c r="AK329"/>
  <c r="AL329"/>
  <c r="AK81"/>
  <c r="AL81"/>
  <c r="AH45"/>
  <c r="AG13"/>
  <c r="D237"/>
  <c r="AL243"/>
  <c r="D174"/>
  <c r="F30"/>
  <c r="AH30" s="1"/>
  <c r="AH31"/>
  <c r="AL482"/>
  <c r="AK482"/>
  <c r="F477"/>
  <c r="AH477" s="1"/>
  <c r="D207"/>
  <c r="AK465"/>
  <c r="AL465"/>
  <c r="AK277"/>
  <c r="AL277"/>
  <c r="AL462"/>
  <c r="AL497"/>
  <c r="AJ182"/>
  <c r="AK78"/>
  <c r="AL78"/>
  <c r="I14" i="16"/>
  <c r="AK117" i="15"/>
  <c r="AL117"/>
  <c r="AJ210"/>
  <c r="AK210" s="1"/>
  <c r="G209"/>
  <c r="AS209" s="1"/>
  <c r="G460"/>
  <c r="AJ461"/>
  <c r="AJ355"/>
  <c r="AK355" s="1"/>
  <c r="AL384"/>
  <c r="D247"/>
  <c r="AK325"/>
  <c r="AK306"/>
  <c r="G181"/>
  <c r="AS181" s="1"/>
  <c r="G247"/>
  <c r="AS247" s="1"/>
  <c r="AH358"/>
  <c r="F356"/>
  <c r="AH356" s="1"/>
  <c r="F232"/>
  <c r="F230" s="1"/>
  <c r="AH264"/>
  <c r="F262"/>
  <c r="AJ244"/>
  <c r="AJ28"/>
  <c r="AK28" s="1"/>
  <c r="AH290"/>
  <c r="F289"/>
  <c r="F288" s="1"/>
  <c r="F225"/>
  <c r="AL34"/>
  <c r="AH177"/>
  <c r="F176"/>
  <c r="AH269"/>
  <c r="F268"/>
  <c r="AH268" s="1"/>
  <c r="AH354"/>
  <c r="F353"/>
  <c r="AJ264"/>
  <c r="G232"/>
  <c r="G230" s="1"/>
  <c r="AJ190"/>
  <c r="D262"/>
  <c r="AL268"/>
  <c r="AK211"/>
  <c r="AH166"/>
  <c r="F259"/>
  <c r="AH259" s="1"/>
  <c r="AK471"/>
  <c r="AH178"/>
  <c r="AL252"/>
  <c r="D356"/>
  <c r="AK357"/>
  <c r="AL284"/>
  <c r="AK284"/>
  <c r="AK108"/>
  <c r="AL108"/>
  <c r="AK272"/>
  <c r="AL272"/>
  <c r="AK70"/>
  <c r="AL70"/>
  <c r="G495"/>
  <c r="AS495" s="1"/>
  <c r="AJ266"/>
  <c r="D229"/>
  <c r="AK294"/>
  <c r="AJ501"/>
  <c r="AK501" s="1"/>
  <c r="AK158"/>
  <c r="AJ237"/>
  <c r="AL237" s="1"/>
  <c r="G242"/>
  <c r="AS242" s="1"/>
  <c r="F229"/>
  <c r="AH229" s="1"/>
  <c r="G235"/>
  <c r="AL280"/>
  <c r="AK280"/>
  <c r="AL203"/>
  <c r="AK203"/>
  <c r="AJ82"/>
  <c r="AK121"/>
  <c r="AL121"/>
  <c r="G245"/>
  <c r="AS245" s="1"/>
  <c r="AJ246"/>
  <c r="AK246" s="1"/>
  <c r="AL487"/>
  <c r="D378"/>
  <c r="D375" s="1"/>
  <c r="AL361"/>
  <c r="AH468"/>
  <c r="F460"/>
  <c r="F459" s="1"/>
  <c r="AH382"/>
  <c r="AH238"/>
  <c r="AH316"/>
  <c r="D289"/>
  <c r="D288" s="1"/>
  <c r="G229"/>
  <c r="AS229" s="1"/>
  <c r="G35" l="1"/>
  <c r="G33" s="1"/>
  <c r="AJ33" s="1"/>
  <c r="AK33" s="1"/>
  <c r="D184"/>
  <c r="AJ166"/>
  <c r="AS166"/>
  <c r="D165"/>
  <c r="D129"/>
  <c r="D123" s="1"/>
  <c r="AK166"/>
  <c r="AJ407"/>
  <c r="AS407"/>
  <c r="AJ410"/>
  <c r="AL410" s="1"/>
  <c r="AS410"/>
  <c r="AL486"/>
  <c r="AK486"/>
  <c r="AS145"/>
  <c r="AJ145"/>
  <c r="AL145" s="1"/>
  <c r="AH378"/>
  <c r="F375"/>
  <c r="AH375" s="1"/>
  <c r="AK481"/>
  <c r="AL26"/>
  <c r="AK26"/>
  <c r="G88"/>
  <c r="G87" s="1"/>
  <c r="AJ90"/>
  <c r="AS23"/>
  <c r="AJ21"/>
  <c r="AS21"/>
  <c r="AH390"/>
  <c r="F388"/>
  <c r="F386" s="1"/>
  <c r="AS404"/>
  <c r="G403"/>
  <c r="G401" s="1"/>
  <c r="G27"/>
  <c r="AS27" s="1"/>
  <c r="G16"/>
  <c r="D386"/>
  <c r="AL344"/>
  <c r="AJ149"/>
  <c r="AK171"/>
  <c r="AL171"/>
  <c r="AK170"/>
  <c r="AL170"/>
  <c r="D149"/>
  <c r="D145" s="1"/>
  <c r="AK151"/>
  <c r="AL151"/>
  <c r="F147"/>
  <c r="F146" s="1"/>
  <c r="AH148"/>
  <c r="AJ66"/>
  <c r="AK66" s="1"/>
  <c r="AJ473"/>
  <c r="AL473" s="1"/>
  <c r="F217"/>
  <c r="AH217" s="1"/>
  <c r="AS151"/>
  <c r="F212"/>
  <c r="AH212" s="1"/>
  <c r="AK52"/>
  <c r="AK63"/>
  <c r="F186"/>
  <c r="AH186" s="1"/>
  <c r="F32"/>
  <c r="AH32" s="1"/>
  <c r="AK311"/>
  <c r="AS389"/>
  <c r="G358"/>
  <c r="AS358" s="1"/>
  <c r="AS365"/>
  <c r="AL303"/>
  <c r="AL215"/>
  <c r="AJ23"/>
  <c r="AK23" s="1"/>
  <c r="AS63"/>
  <c r="AL483"/>
  <c r="AS474"/>
  <c r="AS483"/>
  <c r="AS460"/>
  <c r="G459"/>
  <c r="AS459" s="1"/>
  <c r="AS371"/>
  <c r="AL116"/>
  <c r="AS60"/>
  <c r="AK60"/>
  <c r="AS90"/>
  <c r="AL354"/>
  <c r="AK191"/>
  <c r="AL373"/>
  <c r="AS228"/>
  <c r="AJ389"/>
  <c r="AK389" s="1"/>
  <c r="AL371"/>
  <c r="AL135"/>
  <c r="AK362"/>
  <c r="G353"/>
  <c r="AL345"/>
  <c r="AK359"/>
  <c r="AJ365"/>
  <c r="AK365" s="1"/>
  <c r="AL58"/>
  <c r="G48"/>
  <c r="AS48" s="1"/>
  <c r="AS354"/>
  <c r="AL359"/>
  <c r="AS391"/>
  <c r="AJ391"/>
  <c r="AK391" s="1"/>
  <c r="AL104"/>
  <c r="AJ404"/>
  <c r="AK404" s="1"/>
  <c r="AS373"/>
  <c r="AK50"/>
  <c r="AJ392"/>
  <c r="AK392" s="1"/>
  <c r="AS392"/>
  <c r="AS235"/>
  <c r="G289"/>
  <c r="G372"/>
  <c r="G390"/>
  <c r="AS374"/>
  <c r="AJ291"/>
  <c r="AL291" s="1"/>
  <c r="G32"/>
  <c r="AS32" s="1"/>
  <c r="AS187"/>
  <c r="G186"/>
  <c r="AS186" s="1"/>
  <c r="AS230"/>
  <c r="AS232"/>
  <c r="AJ265"/>
  <c r="AK265" s="1"/>
  <c r="AS265"/>
  <c r="AJ262"/>
  <c r="AL262" s="1"/>
  <c r="AS262"/>
  <c r="AJ194"/>
  <c r="AK194" s="1"/>
  <c r="AS194"/>
  <c r="AJ94"/>
  <c r="AK94" s="1"/>
  <c r="AS94"/>
  <c r="AJ342"/>
  <c r="AK342" s="1"/>
  <c r="AS342"/>
  <c r="AJ173"/>
  <c r="AL173" s="1"/>
  <c r="G172"/>
  <c r="AS173"/>
  <c r="AS359"/>
  <c r="AJ259"/>
  <c r="AK259" s="1"/>
  <c r="AS259"/>
  <c r="AS129"/>
  <c r="AS131"/>
  <c r="AS192"/>
  <c r="AJ192"/>
  <c r="AL193"/>
  <c r="AJ438"/>
  <c r="AS438"/>
  <c r="AL440"/>
  <c r="AJ382"/>
  <c r="AL382" s="1"/>
  <c r="AS382"/>
  <c r="AS396"/>
  <c r="AJ299"/>
  <c r="AL299" s="1"/>
  <c r="AS299"/>
  <c r="AJ293"/>
  <c r="AS293"/>
  <c r="AK302"/>
  <c r="G226"/>
  <c r="G224" s="1"/>
  <c r="AS291"/>
  <c r="G133"/>
  <c r="G132" s="1"/>
  <c r="AS134"/>
  <c r="AJ95"/>
  <c r="AK95" s="1"/>
  <c r="AS95"/>
  <c r="AJ17"/>
  <c r="AS17"/>
  <c r="AK114"/>
  <c r="AL99"/>
  <c r="G378"/>
  <c r="AJ219"/>
  <c r="G217"/>
  <c r="AS217" s="1"/>
  <c r="AL220"/>
  <c r="AK55"/>
  <c r="AJ214"/>
  <c r="G212"/>
  <c r="AS212" s="1"/>
  <c r="AH373"/>
  <c r="F372"/>
  <c r="AH403"/>
  <c r="F385"/>
  <c r="AH385" s="1"/>
  <c r="AJ479"/>
  <c r="AK479" s="1"/>
  <c r="G477"/>
  <c r="AH393"/>
  <c r="AJ400"/>
  <c r="AL400" s="1"/>
  <c r="AJ411"/>
  <c r="AK411" s="1"/>
  <c r="AK154"/>
  <c r="D236"/>
  <c r="D234" s="1"/>
  <c r="AK250"/>
  <c r="AL269"/>
  <c r="AH124"/>
  <c r="AH131"/>
  <c r="AH129"/>
  <c r="AK107"/>
  <c r="AH94"/>
  <c r="AS92"/>
  <c r="AH125"/>
  <c r="G297"/>
  <c r="AL292"/>
  <c r="AL196"/>
  <c r="F35"/>
  <c r="AH35" s="1"/>
  <c r="AH187"/>
  <c r="AL397"/>
  <c r="AL503"/>
  <c r="G236"/>
  <c r="F241"/>
  <c r="AH241" s="1"/>
  <c r="AK195"/>
  <c r="AK238"/>
  <c r="AL468"/>
  <c r="AL398"/>
  <c r="AH126"/>
  <c r="AL225"/>
  <c r="AL69"/>
  <c r="AL260"/>
  <c r="D15"/>
  <c r="G258"/>
  <c r="AH134"/>
  <c r="AL402"/>
  <c r="AK402"/>
  <c r="AK120"/>
  <c r="AL120"/>
  <c r="AH22"/>
  <c r="AL290"/>
  <c r="AK290"/>
  <c r="AJ187"/>
  <c r="AK187" s="1"/>
  <c r="AK249"/>
  <c r="F472"/>
  <c r="AH472" s="1"/>
  <c r="AK373"/>
  <c r="AL267"/>
  <c r="AL189"/>
  <c r="AL285"/>
  <c r="AK285"/>
  <c r="D224"/>
  <c r="AK263"/>
  <c r="AL263"/>
  <c r="AJ134"/>
  <c r="AK134" s="1"/>
  <c r="AJ380"/>
  <c r="AH133"/>
  <c r="AH132"/>
  <c r="AL246"/>
  <c r="AL210"/>
  <c r="F164"/>
  <c r="F162" s="1"/>
  <c r="AJ112"/>
  <c r="AK307"/>
  <c r="AL307"/>
  <c r="G125"/>
  <c r="G124" s="1"/>
  <c r="G123" s="1"/>
  <c r="AJ126"/>
  <c r="AK126" s="1"/>
  <c r="AJ309"/>
  <c r="AJ300"/>
  <c r="AJ30"/>
  <c r="AL28"/>
  <c r="AH289"/>
  <c r="AH232"/>
  <c r="AH230"/>
  <c r="G179"/>
  <c r="AJ181"/>
  <c r="AL461"/>
  <c r="AK461"/>
  <c r="AK182"/>
  <c r="AL182"/>
  <c r="D370"/>
  <c r="G494"/>
  <c r="AS494" s="1"/>
  <c r="AJ495"/>
  <c r="AJ228"/>
  <c r="AK228" s="1"/>
  <c r="AK264"/>
  <c r="AL264"/>
  <c r="F174"/>
  <c r="AH174" s="1"/>
  <c r="AH176"/>
  <c r="AL166"/>
  <c r="AH225"/>
  <c r="F224"/>
  <c r="F223" s="1"/>
  <c r="AL355"/>
  <c r="AL266"/>
  <c r="AK266"/>
  <c r="AH299"/>
  <c r="F297"/>
  <c r="F236"/>
  <c r="AH88"/>
  <c r="F87"/>
  <c r="D385"/>
  <c r="D383" s="1"/>
  <c r="AJ245"/>
  <c r="AK245" s="1"/>
  <c r="AL82"/>
  <c r="AK82"/>
  <c r="AJ242"/>
  <c r="AK242" s="1"/>
  <c r="G241"/>
  <c r="AS241" s="1"/>
  <c r="D258"/>
  <c r="AL190"/>
  <c r="AK190"/>
  <c r="AJ232"/>
  <c r="AL227"/>
  <c r="AL244"/>
  <c r="AK244"/>
  <c r="F258"/>
  <c r="AH262"/>
  <c r="AJ247"/>
  <c r="AL247" s="1"/>
  <c r="AJ169"/>
  <c r="D239"/>
  <c r="AJ229"/>
  <c r="AL229" s="1"/>
  <c r="AH460"/>
  <c r="AJ235"/>
  <c r="AK235" s="1"/>
  <c r="D230"/>
  <c r="AK231"/>
  <c r="F352"/>
  <c r="AH352" s="1"/>
  <c r="AH353"/>
  <c r="AJ131"/>
  <c r="AK131" s="1"/>
  <c r="AL374"/>
  <c r="AJ460"/>
  <c r="AK460" s="1"/>
  <c r="AJ209"/>
  <c r="AK209" s="1"/>
  <c r="G207"/>
  <c r="AS207" s="1"/>
  <c r="AL502"/>
  <c r="D352"/>
  <c r="AK237"/>
  <c r="G22" l="1"/>
  <c r="AS22" s="1"/>
  <c r="AL407"/>
  <c r="AK407"/>
  <c r="AK145"/>
  <c r="AK410"/>
  <c r="AS88"/>
  <c r="AH146"/>
  <c r="F145"/>
  <c r="AH145" s="1"/>
  <c r="G85"/>
  <c r="AS353"/>
  <c r="AJ353"/>
  <c r="AK353" s="1"/>
  <c r="G375"/>
  <c r="AJ375" s="1"/>
  <c r="AK375" s="1"/>
  <c r="AJ378"/>
  <c r="AL380"/>
  <c r="AK380"/>
  <c r="AK90"/>
  <c r="AL90"/>
  <c r="AL21"/>
  <c r="AK21"/>
  <c r="G385"/>
  <c r="G383" s="1"/>
  <c r="AS390"/>
  <c r="G388"/>
  <c r="D369"/>
  <c r="AS16"/>
  <c r="AJ477"/>
  <c r="AL477" s="1"/>
  <c r="G472"/>
  <c r="AS179"/>
  <c r="G178"/>
  <c r="AS372"/>
  <c r="AH297"/>
  <c r="F287"/>
  <c r="AH287" s="1"/>
  <c r="AS289"/>
  <c r="G288"/>
  <c r="G287" s="1"/>
  <c r="F184"/>
  <c r="AH184" s="1"/>
  <c r="AS133"/>
  <c r="AL265"/>
  <c r="AK473"/>
  <c r="AJ358"/>
  <c r="AL358" s="1"/>
  <c r="AL194"/>
  <c r="AK149"/>
  <c r="AS149"/>
  <c r="AL149"/>
  <c r="AH147"/>
  <c r="AL66"/>
  <c r="AL389"/>
  <c r="F15"/>
  <c r="G356"/>
  <c r="AS356" s="1"/>
  <c r="AK382"/>
  <c r="AJ129"/>
  <c r="AK129" s="1"/>
  <c r="AL23"/>
  <c r="AJ16"/>
  <c r="AL16" s="1"/>
  <c r="AL391"/>
  <c r="AJ403"/>
  <c r="AK403" s="1"/>
  <c r="AS403"/>
  <c r="AJ27"/>
  <c r="AK27" s="1"/>
  <c r="AJ48"/>
  <c r="AK48" s="1"/>
  <c r="AJ88"/>
  <c r="AK88" s="1"/>
  <c r="AS87"/>
  <c r="AL259"/>
  <c r="AL365"/>
  <c r="AK262"/>
  <c r="AJ230"/>
  <c r="AL230" s="1"/>
  <c r="AL404"/>
  <c r="AL94"/>
  <c r="AJ32"/>
  <c r="AK32" s="1"/>
  <c r="AL342"/>
  <c r="AJ289"/>
  <c r="AK289" s="1"/>
  <c r="AK291"/>
  <c r="AL392"/>
  <c r="AJ390"/>
  <c r="AK390" s="1"/>
  <c r="G184"/>
  <c r="AS184" s="1"/>
  <c r="AS224"/>
  <c r="AJ372"/>
  <c r="AK372" s="1"/>
  <c r="AK299"/>
  <c r="AL95"/>
  <c r="D164"/>
  <c r="D162" s="1"/>
  <c r="AK192"/>
  <c r="AL192"/>
  <c r="AK173"/>
  <c r="AJ258"/>
  <c r="AJ257" s="1"/>
  <c r="AL257" s="1"/>
  <c r="AS258"/>
  <c r="AS172"/>
  <c r="AJ172"/>
  <c r="AL172" s="1"/>
  <c r="AS33"/>
  <c r="AS35"/>
  <c r="E514"/>
  <c r="AS477"/>
  <c r="AL438"/>
  <c r="AK438"/>
  <c r="AJ393"/>
  <c r="AS393"/>
  <c r="AS378"/>
  <c r="AJ297"/>
  <c r="AK297" s="1"/>
  <c r="AS297"/>
  <c r="AJ236"/>
  <c r="AL236" s="1"/>
  <c r="AS236"/>
  <c r="AK293"/>
  <c r="AL293"/>
  <c r="AS226"/>
  <c r="AJ226"/>
  <c r="AJ133"/>
  <c r="AK133" s="1"/>
  <c r="AS124"/>
  <c r="AS125"/>
  <c r="AL17"/>
  <c r="AK17"/>
  <c r="AJ217"/>
  <c r="AL219"/>
  <c r="AK219"/>
  <c r="AL214"/>
  <c r="AK214"/>
  <c r="AJ212"/>
  <c r="AL479"/>
  <c r="F383"/>
  <c r="AH383" s="1"/>
  <c r="AK400"/>
  <c r="AL411"/>
  <c r="AH165"/>
  <c r="F33"/>
  <c r="AH33" s="1"/>
  <c r="AJ35"/>
  <c r="AL35" s="1"/>
  <c r="AJ92"/>
  <c r="F123"/>
  <c r="AH123" s="1"/>
  <c r="G257"/>
  <c r="AS257" s="1"/>
  <c r="G234"/>
  <c r="AL187"/>
  <c r="F239"/>
  <c r="AH239" s="1"/>
  <c r="AK247"/>
  <c r="AL126"/>
  <c r="AL134"/>
  <c r="AJ186"/>
  <c r="AK186" s="1"/>
  <c r="AL309"/>
  <c r="AK309"/>
  <c r="AK30"/>
  <c r="AL30"/>
  <c r="AL300"/>
  <c r="AK300"/>
  <c r="AJ125"/>
  <c r="AK125" s="1"/>
  <c r="AL112"/>
  <c r="AK112"/>
  <c r="AK229"/>
  <c r="D287"/>
  <c r="AH388"/>
  <c r="AH386"/>
  <c r="F370"/>
  <c r="AH372"/>
  <c r="AL181"/>
  <c r="AK181"/>
  <c r="AH288"/>
  <c r="D257"/>
  <c r="AL169"/>
  <c r="AH87"/>
  <c r="F85"/>
  <c r="AH85" s="1"/>
  <c r="AK495"/>
  <c r="AL495"/>
  <c r="AJ179"/>
  <c r="AL235"/>
  <c r="AL228"/>
  <c r="AL232"/>
  <c r="AK232"/>
  <c r="AJ241"/>
  <c r="AK241" s="1"/>
  <c r="G239"/>
  <c r="AS239" s="1"/>
  <c r="G493"/>
  <c r="AS493" s="1"/>
  <c r="AJ494"/>
  <c r="G223"/>
  <c r="AJ224"/>
  <c r="AL501"/>
  <c r="AJ207"/>
  <c r="AK207" s="1"/>
  <c r="G458"/>
  <c r="AS458" s="1"/>
  <c r="AJ459"/>
  <c r="AK459" s="1"/>
  <c r="F458"/>
  <c r="AH458" s="1"/>
  <c r="AH459"/>
  <c r="AH258"/>
  <c r="F257"/>
  <c r="AH257" s="1"/>
  <c r="AH236"/>
  <c r="F234"/>
  <c r="AH234" s="1"/>
  <c r="AH224"/>
  <c r="D14"/>
  <c r="AL245"/>
  <c r="AL460"/>
  <c r="D223"/>
  <c r="AL209"/>
  <c r="AL131"/>
  <c r="AL242"/>
  <c r="AL258" l="1"/>
  <c r="AJ385"/>
  <c r="AK385" s="1"/>
  <c r="AL92"/>
  <c r="AK92"/>
  <c r="G370"/>
  <c r="G369" s="1"/>
  <c r="G15"/>
  <c r="G14" s="1"/>
  <c r="AL378"/>
  <c r="AK378"/>
  <c r="AS385"/>
  <c r="AH15"/>
  <c r="F14"/>
  <c r="AH14" s="1"/>
  <c r="G386"/>
  <c r="AS386" s="1"/>
  <c r="AJ388"/>
  <c r="AK388" s="1"/>
  <c r="G177"/>
  <c r="G176" s="1"/>
  <c r="AS178"/>
  <c r="AJ178"/>
  <c r="G168"/>
  <c r="F222"/>
  <c r="AH222" s="1"/>
  <c r="AS401"/>
  <c r="G222"/>
  <c r="AS288"/>
  <c r="AS223"/>
  <c r="G352"/>
  <c r="AJ356"/>
  <c r="AL356" s="1"/>
  <c r="AK358"/>
  <c r="AK257"/>
  <c r="AL353"/>
  <c r="AL27"/>
  <c r="AS85"/>
  <c r="AJ87"/>
  <c r="AK87" s="1"/>
  <c r="AL403"/>
  <c r="AL129"/>
  <c r="AK16"/>
  <c r="AJ22"/>
  <c r="AK22" s="1"/>
  <c r="AL32"/>
  <c r="AJ401"/>
  <c r="AK401" s="1"/>
  <c r="AL48"/>
  <c r="AK477"/>
  <c r="AL88"/>
  <c r="AJ184"/>
  <c r="AK184" s="1"/>
  <c r="AK230"/>
  <c r="AJ288"/>
  <c r="AL288" s="1"/>
  <c r="AK258"/>
  <c r="AL289"/>
  <c r="AS287"/>
  <c r="AL390"/>
  <c r="AS388"/>
  <c r="AL372"/>
  <c r="AK236"/>
  <c r="AK172"/>
  <c r="AJ472"/>
  <c r="AL472" s="1"/>
  <c r="AS472"/>
  <c r="AJ383"/>
  <c r="AK383" s="1"/>
  <c r="AS383"/>
  <c r="AL393"/>
  <c r="AK393"/>
  <c r="AS375"/>
  <c r="AJ234"/>
  <c r="AK234" s="1"/>
  <c r="AS234"/>
  <c r="AL297"/>
  <c r="AK226"/>
  <c r="AL226"/>
  <c r="AJ132"/>
  <c r="AK132" s="1"/>
  <c r="AS132"/>
  <c r="AL133"/>
  <c r="AK217"/>
  <c r="AL217"/>
  <c r="AK212"/>
  <c r="AL212"/>
  <c r="AL375"/>
  <c r="AL33"/>
  <c r="AK35"/>
  <c r="AL125"/>
  <c r="AL186"/>
  <c r="AJ124"/>
  <c r="AK124" s="1"/>
  <c r="AH223"/>
  <c r="AH370"/>
  <c r="F369"/>
  <c r="AH369" s="1"/>
  <c r="D222"/>
  <c r="D13" s="1"/>
  <c r="AL500"/>
  <c r="AJ239"/>
  <c r="AK239" s="1"/>
  <c r="AL241"/>
  <c r="AL207"/>
  <c r="AL224"/>
  <c r="AK224"/>
  <c r="AJ493"/>
  <c r="AK494"/>
  <c r="AL494"/>
  <c r="AJ458"/>
  <c r="AK458" s="1"/>
  <c r="AJ223"/>
  <c r="AL223" s="1"/>
  <c r="AK179"/>
  <c r="AL179"/>
  <c r="AL459"/>
  <c r="AJ168" l="1"/>
  <c r="G165"/>
  <c r="AS14"/>
  <c r="AL385"/>
  <c r="AJ15"/>
  <c r="AL15" s="1"/>
  <c r="AS15"/>
  <c r="AS352"/>
  <c r="AJ352"/>
  <c r="AL352" s="1"/>
  <c r="AL388"/>
  <c r="AJ177"/>
  <c r="AS177"/>
  <c r="AL178"/>
  <c r="AK178"/>
  <c r="AS168"/>
  <c r="AS222"/>
  <c r="AK356"/>
  <c r="AJ287"/>
  <c r="AK287" s="1"/>
  <c r="AJ85"/>
  <c r="AK85" s="1"/>
  <c r="AL87"/>
  <c r="AL401"/>
  <c r="AK288"/>
  <c r="AL184"/>
  <c r="AL22"/>
  <c r="AJ386"/>
  <c r="AK386" s="1"/>
  <c r="AL383"/>
  <c r="AL132"/>
  <c r="AK472"/>
  <c r="AS370"/>
  <c r="AJ370"/>
  <c r="AL234"/>
  <c r="AJ123"/>
  <c r="AK123" s="1"/>
  <c r="AS123"/>
  <c r="AJ14"/>
  <c r="AL14" s="1"/>
  <c r="AL239"/>
  <c r="AL124"/>
  <c r="AK223"/>
  <c r="AL458"/>
  <c r="AK493"/>
  <c r="AL493"/>
  <c r="AJ222"/>
  <c r="AL222" s="1"/>
  <c r="AH164"/>
  <c r="E507"/>
  <c r="AL168" l="1"/>
  <c r="AK168"/>
  <c r="AK15"/>
  <c r="D514"/>
  <c r="G164"/>
  <c r="AS165"/>
  <c r="AJ165"/>
  <c r="AK177"/>
  <c r="AL177"/>
  <c r="G174"/>
  <c r="AS176"/>
  <c r="AJ176"/>
  <c r="AK352"/>
  <c r="AL85"/>
  <c r="AL287"/>
  <c r="AL123"/>
  <c r="AL386"/>
  <c r="AK14"/>
  <c r="AS369"/>
  <c r="AJ369"/>
  <c r="AK370"/>
  <c r="AL370"/>
  <c r="D507"/>
  <c r="AH162"/>
  <c r="F13"/>
  <c r="AK222"/>
  <c r="AK176" l="1"/>
  <c r="AL176"/>
  <c r="AK165"/>
  <c r="AL165"/>
  <c r="G162"/>
  <c r="G13" s="1"/>
  <c r="AS164"/>
  <c r="AJ164"/>
  <c r="AJ174"/>
  <c r="AS174"/>
  <c r="AK369"/>
  <c r="AL369"/>
  <c r="F507"/>
  <c r="AH507" s="1"/>
  <c r="F514"/>
  <c r="D26" i="16"/>
  <c r="H27"/>
  <c r="I27" s="1"/>
  <c r="AH13" i="15"/>
  <c r="AK164" l="1"/>
  <c r="AL164"/>
  <c r="AK174"/>
  <c r="AL174"/>
  <c r="AS162"/>
  <c r="AJ162"/>
  <c r="D25" i="16"/>
  <c r="AK162" i="15" l="1"/>
  <c r="AL162"/>
  <c r="E28" i="16"/>
  <c r="G514" i="15"/>
  <c r="AJ13"/>
  <c r="G507"/>
  <c r="D12" i="16"/>
  <c r="H28" l="1"/>
  <c r="I28" s="1"/>
  <c r="E26"/>
  <c r="AL13" i="15"/>
  <c r="AK13"/>
  <c r="AJ507"/>
  <c r="AS507"/>
  <c r="E25" i="16" l="1"/>
  <c r="H26"/>
  <c r="I26" s="1"/>
  <c r="AL507" i="15"/>
  <c r="AK507"/>
  <c r="E22" i="16" l="1"/>
  <c r="H22" s="1"/>
  <c r="I22" s="1"/>
  <c r="H24"/>
  <c r="I24" s="1"/>
  <c r="H25"/>
  <c r="I25" s="1"/>
  <c r="E12"/>
  <c r="H12" s="1"/>
  <c r="I12" s="1"/>
</calcChain>
</file>

<file path=xl/sharedStrings.xml><?xml version="1.0" encoding="utf-8"?>
<sst xmlns="http://schemas.openxmlformats.org/spreadsheetml/2006/main" count="1469" uniqueCount="1049">
  <si>
    <t>осуществляющих</t>
  </si>
  <si>
    <t>кассовое обслу-</t>
  </si>
  <si>
    <t>живание испол-</t>
  </si>
  <si>
    <t>нения бюджета</t>
  </si>
  <si>
    <t>через</t>
  </si>
  <si>
    <t>банковские</t>
  </si>
  <si>
    <t>счета</t>
  </si>
  <si>
    <t>некассовые</t>
  </si>
  <si>
    <t>операции</t>
  </si>
  <si>
    <t>итого</t>
  </si>
  <si>
    <t>6</t>
  </si>
  <si>
    <t>7</t>
  </si>
  <si>
    <t>8</t>
  </si>
  <si>
    <t>нормативными пра-</t>
  </si>
  <si>
    <t>0400 0000000000 000 222</t>
  </si>
  <si>
    <t>0100 0000000000 000 251</t>
  </si>
  <si>
    <t>0400 00 0 00 00000 000</t>
  </si>
  <si>
    <t>арендная плата за пользование имуществом</t>
  </si>
  <si>
    <t>вовыми актами</t>
  </si>
  <si>
    <t xml:space="preserve">Код расхода </t>
  </si>
  <si>
    <t>Бюджетные ассиг-</t>
  </si>
  <si>
    <t>бюджете, норма-</t>
  </si>
  <si>
    <t xml:space="preserve">Лимиты </t>
  </si>
  <si>
    <t>бюджетных</t>
  </si>
  <si>
    <t>обязательств</t>
  </si>
  <si>
    <t xml:space="preserve">по ФКР, </t>
  </si>
  <si>
    <t>КЦСР,</t>
  </si>
  <si>
    <t>КВР,</t>
  </si>
  <si>
    <t>ЭКР</t>
  </si>
  <si>
    <t>нования, утверж-</t>
  </si>
  <si>
    <t>денные законом о</t>
  </si>
  <si>
    <t>бюджете</t>
  </si>
  <si>
    <t>9</t>
  </si>
  <si>
    <t>тивными право-</t>
  </si>
  <si>
    <t>выми актами о</t>
  </si>
  <si>
    <t xml:space="preserve">             Неисполненные </t>
  </si>
  <si>
    <t xml:space="preserve">                назначения</t>
  </si>
  <si>
    <t>по</t>
  </si>
  <si>
    <t>лимитам</t>
  </si>
  <si>
    <t>10</t>
  </si>
  <si>
    <t>Источники</t>
  </si>
  <si>
    <t>финансирования,</t>
  </si>
  <si>
    <t>утвержденные</t>
  </si>
  <si>
    <t>росписью</t>
  </si>
  <si>
    <t>сводной бюджетной</t>
  </si>
  <si>
    <t>Код источника</t>
  </si>
  <si>
    <t>финансирования</t>
  </si>
  <si>
    <t>по КИВФ, КИВнФ</t>
  </si>
  <si>
    <t>Расходы бюджета - всего</t>
  </si>
  <si>
    <t>Код</t>
  </si>
  <si>
    <t>стро-</t>
  </si>
  <si>
    <t>ки</t>
  </si>
  <si>
    <t>11</t>
  </si>
  <si>
    <t>Источники финансирования дефицита бюджетов - всего</t>
  </si>
  <si>
    <t xml:space="preserve">             по ОКПО</t>
  </si>
  <si>
    <t xml:space="preserve">             по ОКЕИ</t>
  </si>
  <si>
    <t xml:space="preserve">                   Дата</t>
  </si>
  <si>
    <t>ассигно-</t>
  </si>
  <si>
    <t>ваниям</t>
  </si>
  <si>
    <t>Руководитель финансово-</t>
  </si>
  <si>
    <t>000 1 11 09045 10 0000 120</t>
  </si>
  <si>
    <t xml:space="preserve">  Форма по ОКУД</t>
  </si>
  <si>
    <t>осуществляющие</t>
  </si>
  <si>
    <t>383</t>
  </si>
  <si>
    <t>Глава по БК</t>
  </si>
  <si>
    <t>951</t>
  </si>
  <si>
    <t>ОКАТО</t>
  </si>
  <si>
    <t xml:space="preserve">                                      ГЛАВНОГО РАСПОРЯДИТЕЛЯ (РАСПОРЯДИТЕЛЯ), ПОЛУЧАТЕЛЯ СРЕДСТВ БЮДЖЕТА</t>
  </si>
  <si>
    <t>500</t>
  </si>
  <si>
    <t>изменение остатков средств</t>
  </si>
  <si>
    <t>700</t>
  </si>
  <si>
    <t xml:space="preserve">       из них:</t>
  </si>
  <si>
    <t xml:space="preserve">      в том числе:</t>
  </si>
  <si>
    <t>Результат исполнения бюджета (дефицит "--", профицит "+")</t>
  </si>
  <si>
    <t>520</t>
  </si>
  <si>
    <t>источники внешнего финансирования бюджета</t>
  </si>
  <si>
    <t>источники внутреннего финансирования бюджета</t>
  </si>
  <si>
    <t>620</t>
  </si>
  <si>
    <t>000 1 06 06043 10 4000 110</t>
  </si>
  <si>
    <t xml:space="preserve"> Земельный налог с физических лиц, обладающих земельным участком, расположенным в границах сельских поселений 
</t>
  </si>
  <si>
    <t xml:space="preserve">    Отметка ответственного исполнителя органа, осуществляющего кассовое обслуживание исполнения бюджета</t>
  </si>
  <si>
    <t xml:space="preserve"> ________________    __________________    _________________________                 "_____"__________________ 200__г.</t>
  </si>
  <si>
    <t xml:space="preserve">    (должность)                  (подпись)                        (расшифровка  подписи)                        </t>
  </si>
  <si>
    <t xml:space="preserve">                    3. Источники финансирования дефицита бюджетов</t>
  </si>
  <si>
    <t xml:space="preserve"> Денежные взыскания (штрафы), установленные законами субъектов Российской Федерации за несоблюдение муниципальных правовых актов
</t>
  </si>
  <si>
    <t>заработная плата</t>
  </si>
  <si>
    <t>прочие выплаты</t>
  </si>
  <si>
    <t>услуги связи</t>
  </si>
  <si>
    <t>прочие расходы</t>
  </si>
  <si>
    <t>000 1 00 00000 00 0000 000</t>
  </si>
  <si>
    <t>000 1 05 03000 01 0000 110</t>
  </si>
  <si>
    <t>000 1 11 00000 00 0000 000</t>
  </si>
  <si>
    <t>000 2 02 00000 00 0000 000</t>
  </si>
  <si>
    <t xml:space="preserve">Учреждение (главный распорядитель (распорядитель), получатель) </t>
  </si>
  <si>
    <t>Наименование бюджета ___________________________________________________________________________________________________________________________</t>
  </si>
  <si>
    <t>Периодичность:1 число каждого месяца</t>
  </si>
  <si>
    <t>000 8 50 00000 00 0000 000</t>
  </si>
  <si>
    <t>Налоги на прибыль, доходы</t>
  </si>
  <si>
    <t>000 1 01 02000 01 0000 110</t>
  </si>
  <si>
    <t>000 1 05 00000 00 0000 000</t>
  </si>
  <si>
    <t>000 1 06 06033 10 3000 110</t>
  </si>
  <si>
    <t xml:space="preserve"> Земельный налог с организаций, обладающих земельным участком, расположенным в границах сельских поселений (штрафы,прочие)
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</si>
  <si>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</si>
  <si>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0502 0803026 810 242</t>
  </si>
  <si>
    <t>безвозмезмездные перечисления госуд. и муниц.орган.</t>
  </si>
  <si>
    <t>000 1 06 01030 10 4000 110</t>
  </si>
  <si>
    <t>безвозмезмездные перечисления организациям, за исключ. госуд. и муниц.орган.</t>
  </si>
  <si>
    <t>0500 0000000000 000 500</t>
  </si>
  <si>
    <t>0500 0000000000 000 530</t>
  </si>
  <si>
    <t>0502 0000000000 000 500</t>
  </si>
  <si>
    <t>0502 0000000000 000 530</t>
  </si>
  <si>
    <t>0502 08 0 00 40260 452 530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</si>
  <si>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</si>
  <si>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 (пеня)</t>
  </si>
  <si>
    <t>000 1 01 02020 01 3000 110</t>
  </si>
  <si>
    <t>Налоги на имущество</t>
  </si>
  <si>
    <t>Налог на имущество физических лиц</t>
  </si>
  <si>
    <t>000 1 06 01030 10 0000 110</t>
  </si>
  <si>
    <t>Земельный налог</t>
  </si>
  <si>
    <t>000 1 06 06000 00 0000 110</t>
  </si>
  <si>
    <t>000 1 09 00000 00 0000 000</t>
  </si>
  <si>
    <t>0503 070 00 42000 244 224</t>
  </si>
  <si>
    <t>000 1 09 04000 00 0000 110</t>
  </si>
  <si>
    <t>000 1 11 05000 00 0000 120</t>
  </si>
  <si>
    <t>000 1 11 05010 00 0000 120</t>
  </si>
  <si>
    <t>000 1 11 05030 00 0000 120</t>
  </si>
  <si>
    <t>000 1 11 05035 10 0000 120</t>
  </si>
  <si>
    <t>Безвозмездные поступления</t>
  </si>
  <si>
    <t>000 2 00 00000 00 0000 000</t>
  </si>
  <si>
    <t>0503 07 0 00 41000 244 346</t>
  </si>
  <si>
    <t>Дотации от других бюджетов бюджетной системы Российской Федерации</t>
  </si>
  <si>
    <t>Культура</t>
  </si>
  <si>
    <t>в том числе :</t>
  </si>
  <si>
    <t>расходы</t>
  </si>
  <si>
    <t>оплата труда и начисл.на о/т</t>
  </si>
  <si>
    <t>начисл на оплату труда</t>
  </si>
  <si>
    <t>приобретение услуг</t>
  </si>
  <si>
    <t>транспортные услуги</t>
  </si>
  <si>
    <t>коммунальные услуги</t>
  </si>
  <si>
    <t>услуги по содержанию имущества</t>
  </si>
  <si>
    <t xml:space="preserve">прочие услуги </t>
  </si>
  <si>
    <t>поступление нефинансовых активов</t>
  </si>
  <si>
    <t>Субвенции бюджетам поселений на выполнение передаваемых полномочий субъектов РФ</t>
  </si>
  <si>
    <t>увел.стоимости основных средств</t>
  </si>
  <si>
    <t>увел.стоимости материальных средств</t>
  </si>
  <si>
    <t>0100 0000000 000 000</t>
  </si>
  <si>
    <t>Общегосударственные вопросы</t>
  </si>
  <si>
    <t>прочие услуги</t>
  </si>
  <si>
    <t>Жилищно-коммунальное хозяйство</t>
  </si>
  <si>
    <t>Жилищное хозяйство</t>
  </si>
  <si>
    <t>0409 05 0 00 20380 244 310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</si>
  <si>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</si>
  <si>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сельских поселений 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</si>
  <si>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0500  0000000000 000 224</t>
  </si>
  <si>
    <t>Коммунальное хозяйство</t>
  </si>
  <si>
    <t>изменение остатков в расчетах</t>
  </si>
  <si>
    <t>800</t>
  </si>
  <si>
    <t>изменение остатков в расчетах с органами,организующими исполнение бюджетов</t>
  </si>
  <si>
    <t>810</t>
  </si>
  <si>
    <t>увеличение счетов расчетов(дебетовый остаток счета 21002000)</t>
  </si>
  <si>
    <t>811</t>
  </si>
  <si>
    <t>уменьшение счетов расчетов(кредитовый остаток счета 30405000)</t>
  </si>
  <si>
    <t>812</t>
  </si>
  <si>
    <t>изменение остатков во внутренних расчетах</t>
  </si>
  <si>
    <t>820</t>
  </si>
  <si>
    <t>увеличение остатков во внутренних расчетах(кредит счета 30404000)</t>
  </si>
  <si>
    <t>821</t>
  </si>
  <si>
    <t>уменьшение остатков во внутренних расчетах(дебет счета 30404000)</t>
  </si>
  <si>
    <t>822</t>
  </si>
  <si>
    <t xml:space="preserve"> Руководитель      __________________           </t>
  </si>
  <si>
    <t xml:space="preserve">                                         (подпись)                                      (расшифровка подписи)</t>
  </si>
  <si>
    <t>05.10.2017</t>
  </si>
  <si>
    <t>06.10.2017</t>
  </si>
  <si>
    <t>25.10.2017</t>
  </si>
  <si>
    <t>26.10.2017</t>
  </si>
  <si>
    <t>30.10.2017</t>
  </si>
  <si>
    <t>31.10.2017</t>
  </si>
  <si>
    <t>000 1 11 09040 00 0000 120</t>
  </si>
  <si>
    <t xml:space="preserve">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</si>
  <si>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</si>
  <si>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</si>
  <si>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000 1 01 02020 01 0000 110</t>
  </si>
  <si>
    <t>000 1 01 02020 01 1000 110</t>
  </si>
  <si>
    <t>000 1 01 02020 01 2000 110</t>
  </si>
  <si>
    <t>безвозмез.и безвозвратные перечисления орган.</t>
  </si>
  <si>
    <t>начисл.на зарплат.</t>
  </si>
  <si>
    <t>увеличение стоим. осн.средств</t>
  </si>
  <si>
    <t>увеличение стоим.материальных запасов</t>
  </si>
  <si>
    <t>услуги по содерж.имущества</t>
  </si>
  <si>
    <t>04125320</t>
  </si>
  <si>
    <t>000 1 01 02010 01 0000 110</t>
  </si>
  <si>
    <t>000 1 01 02040 01 0000 110</t>
  </si>
  <si>
    <t>000 1 06 06010 00 0000 110</t>
  </si>
  <si>
    <t>000 1 06 06013 10 0000 110</t>
  </si>
  <si>
    <t>000 1 06 06020 00 0000 110</t>
  </si>
  <si>
    <t>000 1 06 06023 10 0000 110</t>
  </si>
  <si>
    <t>Другие общегосударственные вопросы</t>
  </si>
  <si>
    <t>710</t>
  </si>
  <si>
    <t>720</t>
  </si>
  <si>
    <t xml:space="preserve">Поступления от продажи земельных участков </t>
  </si>
  <si>
    <t>450</t>
  </si>
  <si>
    <t>Остатки на конец периода</t>
  </si>
  <si>
    <t xml:space="preserve">Остатки на начало года </t>
  </si>
  <si>
    <t>000 1 01 00000 00 0000 110</t>
  </si>
  <si>
    <t>000 1 01 02010 01 1000 110</t>
  </si>
  <si>
    <t>000 1 01 02010 01 2000 110</t>
  </si>
  <si>
    <t>000 1 01 02010 01 3000 110</t>
  </si>
  <si>
    <t>000 1 01 02030 01 0000 110</t>
  </si>
  <si>
    <t>000 1 01 02030 01 1000 110</t>
  </si>
  <si>
    <t>000 1 01 02030 01 2000 110</t>
  </si>
  <si>
    <t>000 1 01 02040 01 1000 110</t>
  </si>
  <si>
    <t>000 1 03 00000 00 0000 000</t>
  </si>
  <si>
    <t>000 1 03 02000 01 0000 110</t>
  </si>
  <si>
    <t xml:space="preserve">000 1 03 02230 01 0000 110 </t>
  </si>
  <si>
    <t>000 1 03 02240 01 0000 110</t>
  </si>
  <si>
    <t>000 1 03 02250 01 0000 110</t>
  </si>
  <si>
    <t xml:space="preserve"> Земельный налог с организаций</t>
  </si>
  <si>
    <t>Земельный налог с физических лиц</t>
  </si>
  <si>
    <t>000 1 06 06030 00 0000 110</t>
  </si>
  <si>
    <t>000 1 06 06040 00 0000 110</t>
  </si>
  <si>
    <t>000 1 03 02260 01 0000 110</t>
  </si>
  <si>
    <t>000 1 05 03010 01 1000 110</t>
  </si>
  <si>
    <t>000 1 05 03010 01 2000 110</t>
  </si>
  <si>
    <t>000 1 05 03020 01 1000 110</t>
  </si>
  <si>
    <t>000 1 05 03020 01 2000 110</t>
  </si>
  <si>
    <t xml:space="preserve"> 000 1 06 00000 00 0000 000</t>
  </si>
  <si>
    <t xml:space="preserve">000 1 06 01000 00 0000 110 </t>
  </si>
  <si>
    <t>000 1 06 01030 10 1000 110</t>
  </si>
  <si>
    <t>000 1 06 01030 10 2000 110</t>
  </si>
  <si>
    <t>000 1 06 01030 10 3000 110</t>
  </si>
  <si>
    <t>000 1 06 06013 10 1000 110</t>
  </si>
  <si>
    <t>000 1 06 06013 10 2000 110</t>
  </si>
  <si>
    <t>000 1 06 06013 10 3000 110</t>
  </si>
  <si>
    <t>000 1 06 06023 10 1000 110</t>
  </si>
  <si>
    <t>000 1 06 06023 10 2000 110</t>
  </si>
  <si>
    <t>000 1 06 06023 10 3000 110</t>
  </si>
  <si>
    <t>000 1 08 04000 01 0000 110</t>
  </si>
  <si>
    <t>000 1 08 04020 01 0000 110</t>
  </si>
  <si>
    <t>000 1 08 04020 01 1000 110</t>
  </si>
  <si>
    <t>000 1 08 07000 01 0000 110</t>
  </si>
  <si>
    <t>000 1 08 07140 01 0000 110</t>
  </si>
  <si>
    <t>000 1 09 01000 03 0000 110</t>
  </si>
  <si>
    <t>000 1 09 04010 02 0000 110</t>
  </si>
  <si>
    <t>000 1 09 07000 03 0000 110</t>
  </si>
  <si>
    <t>000 1 09 07010 03 0000 110</t>
  </si>
  <si>
    <t>000 1 09 07050 03 0000 110</t>
  </si>
  <si>
    <t>000 1 09 04050 00 0000 110</t>
  </si>
  <si>
    <t>000 113 01 995 10 0000 130</t>
  </si>
  <si>
    <t>000 1 14 00000 00 0000 000</t>
  </si>
  <si>
    <t>000 1 14 02000 00 0000 410</t>
  </si>
  <si>
    <t>000 1 14 06000 00 0000 430</t>
  </si>
  <si>
    <t>000 1 14 06013 10 1000 430</t>
  </si>
  <si>
    <t>0500 0000000000 000 222</t>
  </si>
  <si>
    <t>1301 0706001 730 231</t>
  </si>
  <si>
    <t>1301 0706001 000</t>
  </si>
  <si>
    <t xml:space="preserve">1300 0000000 000 </t>
  </si>
  <si>
    <t>1300 0000000 000 200</t>
  </si>
  <si>
    <t>1300 0000000 000 230</t>
  </si>
  <si>
    <t>1300 0000000 000 231</t>
  </si>
  <si>
    <t>000 1 16 33050 10 0000 140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</si>
  <si>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</si>
  <si>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0203 9900051180 129 213</t>
  </si>
  <si>
    <t>Дотации бюджетам поселений на выравнивание бюджетной обеспеченности</t>
  </si>
  <si>
    <t>Дотации на выравнивание бюджетной обеспеченности</t>
  </si>
  <si>
    <t>0502 08 0 00 40260 244 225</t>
  </si>
  <si>
    <t>0502 0000000000 000 220</t>
  </si>
  <si>
    <t>0502 0000000000 000 225</t>
  </si>
  <si>
    <t>0500  0000000000 000 300</t>
  </si>
  <si>
    <t>0500  0000000000 000 340</t>
  </si>
  <si>
    <t>0409  0000000000 000 222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</si>
  <si>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</si>
  <si>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</si>
  <si>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Обслуживание внутреннего долга</t>
  </si>
  <si>
    <t>Обслуживание государственного (муниципального) долга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</si>
  <si>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</si>
  <si>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</si>
  <si>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000 2 02 02110 00 0000 151</t>
  </si>
  <si>
    <t>000 8 90 00000 00 0000 000</t>
  </si>
  <si>
    <t>через органы</t>
  </si>
  <si>
    <t>кассовое обслуживание</t>
  </si>
  <si>
    <t xml:space="preserve"> исполнения бюджета </t>
  </si>
  <si>
    <t xml:space="preserve">                                 1.  Доходы бюджета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</si>
  <si>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платежа)</t>
  </si>
  <si>
    <t>0707  0402006 113 290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</si>
  <si>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(пеня)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</si>
  <si>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</si>
  <si>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 (сумма платежа)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</si>
  <si>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 (пеня)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</si>
  <si>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</si>
  <si>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Федерации, доходы</t>
  </si>
  <si>
    <t xml:space="preserve"> Акцизы по подакцизным товарам (продукции),
 производимым на территории Российской Федерации
</t>
  </si>
  <si>
    <t>Пенсии, пособия, выплачиваемые организациями сектора гос. управлени</t>
  </si>
  <si>
    <t>Пенсионное обеспечение</t>
  </si>
  <si>
    <t>Доходы от уплаты акцизов на дизельное топливо, зачисляемые в консолидированные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</si>
  <si>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</si>
  <si>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</si>
  <si>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</si>
  <si>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>Единый сельскохозяйственный налог (сумма платежа)</t>
  </si>
  <si>
    <t>Единый сельскохозяйственный налог (пени,</t>
  </si>
  <si>
    <t>Единый сельскохозяйственный налог (за налоговые периоды, истекшие до 1 января 2011 года)(сумма платежа)</t>
  </si>
  <si>
    <t>Единый сельскохозяйственный налог (за налоговые периоды, истекшие до 1 января 2011 года)(пени, проценты)</t>
  </si>
  <si>
    <t>000 2 02 40014 10 0000 150</t>
  </si>
  <si>
    <t>000 2 02 01000 00 0000 150</t>
  </si>
  <si>
    <t>000 2 02 15001 10 0000 150</t>
  </si>
  <si>
    <t>000 2 02 10001 00 0000 150</t>
  </si>
  <si>
    <t>000 2 02 02000 00 0000 150</t>
  </si>
  <si>
    <t>000 2 02 25555 00 0000 150</t>
  </si>
  <si>
    <t>000 2 02 25555 10 0000 150</t>
  </si>
  <si>
    <t>000 2 02 03000 00 0000 150</t>
  </si>
  <si>
    <t>000 2 02 35118 00 0000 150</t>
  </si>
  <si>
    <t>000 2 02 35118 10 0000 150</t>
  </si>
  <si>
    <t>000 2 02 30024 00 0000 150</t>
  </si>
  <si>
    <t>000 2 02 30024 10 0000 150</t>
  </si>
  <si>
    <t>000 2 02 40014 00 0000 150</t>
  </si>
  <si>
    <t>увел.стоимости прочих материальных запасов однократного применения</t>
  </si>
  <si>
    <t>0107 0700010180 880 290</t>
  </si>
  <si>
    <t>0107 0700010180 880 297</t>
  </si>
  <si>
    <t>0203 9900051180 244 346</t>
  </si>
  <si>
    <t>0203 9900051180 244 349</t>
  </si>
  <si>
    <t>увел.стоимости прочих оборотных запасов (материалов)</t>
  </si>
  <si>
    <t>1001 0700010020 312 264</t>
  </si>
  <si>
    <t>Пенсии, пособия, выплачиваемые организациями сектора гос. управления</t>
  </si>
  <si>
    <t>1000 0000000000 000 264</t>
  </si>
  <si>
    <t>Единый сельскохозяйственный налог (за налоговые периоды, истекшие до 1 января 2011 года)(взыскания)</t>
  </si>
  <si>
    <t>0409 05 0 00 20380 244 222</t>
  </si>
  <si>
    <t>Здравоохранение</t>
  </si>
  <si>
    <t>0909 0700030100 000</t>
  </si>
  <si>
    <t>0909 07 0 00 30100 244 226</t>
  </si>
  <si>
    <t>Функциониование и развитие системы управления</t>
  </si>
  <si>
    <t>Закупка товаров, работ и услуг для обеспечения</t>
  </si>
  <si>
    <t>0909 00 0 00 00000 200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</si>
  <si>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</si>
  <si>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Налог на имущество физических лиц, взимаемый по ставкам, применяемым к объектам налогообложения, расположенным в границах поселений (сумма платежа)</t>
  </si>
  <si>
    <t>Налог на имущество физических лиц, взимаемый по ставкам, применяемым к объектам налогообложения, расположенным в границах поселений(пени, проценты)</t>
  </si>
  <si>
    <t>0503 0000000000 000 224</t>
  </si>
  <si>
    <t>0700 0000000000 000 310</t>
  </si>
  <si>
    <t>0909 07 00 0 00 00000</t>
  </si>
  <si>
    <t xml:space="preserve"> Земельный налог, взимаемый по ставкам, установленным в соответствии с подпунктом 1 пункта 1 статьи 394 Налогового кодекса Российской Федерации
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</si>
  <si>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</si>
  <si>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000 1 08 04020 01 4000 110</t>
  </si>
  <si>
    <t>0102 07 0 00 10100 000</t>
  </si>
  <si>
    <t>0100 0000000000 000 340</t>
  </si>
  <si>
    <t>0100 0000000000 000 200</t>
  </si>
  <si>
    <t>0100 0000000000 000 210</t>
  </si>
  <si>
    <t>0100 0000000000 000 211</t>
  </si>
  <si>
    <t>0100 0000000000 000 213</t>
  </si>
  <si>
    <t>0100 0000000000 000 220</t>
  </si>
  <si>
    <t>0100 0000000000 000 221</t>
  </si>
  <si>
    <t>0100 0000000000 000 225</t>
  </si>
  <si>
    <t>0100 0000000000 000 226</t>
  </si>
  <si>
    <t>0100 0000000000 000 290</t>
  </si>
  <si>
    <t>0100 0000000000 000 300</t>
  </si>
  <si>
    <t>0100 0000000000 000 310</t>
  </si>
  <si>
    <t>0104 0700010140 121 211</t>
  </si>
  <si>
    <t xml:space="preserve">0104 07 0 00 10140 000 </t>
  </si>
  <si>
    <t>0104 0700010140 244 221</t>
  </si>
  <si>
    <t>0104 0700010140 244 225</t>
  </si>
  <si>
    <t>0104 0700010140 244 226</t>
  </si>
  <si>
    <t>0104 0700010140 244 310</t>
  </si>
  <si>
    <t>0104 0700010140 244 340</t>
  </si>
  <si>
    <t>0104 99 0 00 70010 000</t>
  </si>
  <si>
    <t>0104 9900070010 244 340</t>
  </si>
  <si>
    <t>0106 07 0 00 10160 000</t>
  </si>
  <si>
    <t>0106 0700010160 540 251</t>
  </si>
  <si>
    <t>0107 07 0 00 10180 000</t>
  </si>
  <si>
    <t>Мероприятия по формированию современной городской среды</t>
  </si>
  <si>
    <t>000 1 01 02010 01 4000 110</t>
  </si>
  <si>
    <t>0111 99 0 00 20010 000</t>
  </si>
  <si>
    <t>0113 0 00 00000 000</t>
  </si>
  <si>
    <t>0113 0000000000 000 200</t>
  </si>
  <si>
    <t>0113 0000000000 000 220</t>
  </si>
  <si>
    <t>0113 0000000000 000 226</t>
  </si>
  <si>
    <t>0113 0000000000 000 290</t>
  </si>
  <si>
    <t>0113 07 0 00 20210 000</t>
  </si>
  <si>
    <t>0113 0700020210 244 225</t>
  </si>
  <si>
    <t>0113 0700020210 244 226</t>
  </si>
  <si>
    <t>0113 0700020210 853 290</t>
  </si>
  <si>
    <t>0203 99 0 00 51180 000</t>
  </si>
  <si>
    <t>0203 9900051180 121 211</t>
  </si>
  <si>
    <t>0300 0000000000 000 200</t>
  </si>
  <si>
    <t>0300  0000000000 000 220</t>
  </si>
  <si>
    <t>0300  0000000000 000 300</t>
  </si>
  <si>
    <t>0104 0700010140 853 290</t>
  </si>
  <si>
    <t>19.10.2017</t>
  </si>
  <si>
    <t>20.10.2017</t>
  </si>
  <si>
    <t>23.10.2017</t>
  </si>
  <si>
    <t>0405 0000000000 000 225</t>
  </si>
  <si>
    <t>0300  0000000000 000 340</t>
  </si>
  <si>
    <t>0309  0000000000 000 200</t>
  </si>
  <si>
    <t>0309  0000000000 000 220</t>
  </si>
  <si>
    <t>0400 0000000000 000 200</t>
  </si>
  <si>
    <t>0409  0000000000 000 200</t>
  </si>
  <si>
    <t>0409  0000000000 000 220</t>
  </si>
  <si>
    <t>03.10.2017</t>
  </si>
  <si>
    <t>0409  0000000000 000 225</t>
  </si>
  <si>
    <t>0409  0000000000 000 226</t>
  </si>
  <si>
    <t>0500  0000000000 000 200</t>
  </si>
  <si>
    <t>0500  0000000000 000 220</t>
  </si>
  <si>
    <t>0500  0000000000 000 223</t>
  </si>
  <si>
    <t>0500  0000000000 000 225</t>
  </si>
  <si>
    <t>0500  0000000000 000 226</t>
  </si>
  <si>
    <t>0500  0000000000 000 310</t>
  </si>
  <si>
    <t>0502  0000000000 000 200</t>
  </si>
  <si>
    <t>0502  0000000000 000 240</t>
  </si>
  <si>
    <t>0502  0000000000 000 241</t>
  </si>
  <si>
    <t>0503  0000000000 000 200</t>
  </si>
  <si>
    <t>0503  0000000000 000 220</t>
  </si>
  <si>
    <t>0503  0000000000 000 223</t>
  </si>
  <si>
    <t>0503  0000000000 000 225</t>
  </si>
  <si>
    <t>0503  0000000000 000 226</t>
  </si>
  <si>
    <t>0503 0000000000 000 300</t>
  </si>
  <si>
    <t>0503  0000000000 000 310</t>
  </si>
  <si>
    <t>0503 0000000000 000 340</t>
  </si>
  <si>
    <t>0700 0000000000 000 220</t>
  </si>
  <si>
    <t>0700  0000000000 000 226</t>
  </si>
  <si>
    <t>0700  0000000000 000 290</t>
  </si>
  <si>
    <t>0700  0000000000 000 300</t>
  </si>
  <si>
    <t>0700  0000000000 000 340</t>
  </si>
  <si>
    <t>0800  0000000000 000 200</t>
  </si>
  <si>
    <t>0800  0000000000 000 210</t>
  </si>
  <si>
    <t>0800  0000000000 000 211</t>
  </si>
  <si>
    <t>0800  0000000000 000 213</t>
  </si>
  <si>
    <t>0800  0000000000 000 220</t>
  </si>
  <si>
    <t>000 1 01 02030 01 4000 110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</si>
  <si>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</si>
  <si>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0100 0000000000 000 250</t>
  </si>
  <si>
    <t>0800  0000000000 000 223</t>
  </si>
  <si>
    <t>0800  0000000000 000 225</t>
  </si>
  <si>
    <t>0800  0000000000 000 226</t>
  </si>
  <si>
    <t>0800  0000000000 000 290</t>
  </si>
  <si>
    <t>0800  0000000000 000 300</t>
  </si>
  <si>
    <t>0800  0000000000 000 310</t>
  </si>
  <si>
    <t>0800  0000000000 000 340</t>
  </si>
  <si>
    <t>0801  0000000000 000 200</t>
  </si>
  <si>
    <t>0801  0000000000 000 210</t>
  </si>
  <si>
    <t>0801  0000000000 000 211</t>
  </si>
  <si>
    <t>0801  0000000000 000 213</t>
  </si>
  <si>
    <t>0801  0000000000 000 220</t>
  </si>
  <si>
    <t>0801  0000000000 000 223</t>
  </si>
  <si>
    <t>0801  0000000000 000 225</t>
  </si>
  <si>
    <t>0801  0000000000 000 226</t>
  </si>
  <si>
    <t>0801  0000000000 000 290</t>
  </si>
  <si>
    <t>0801  0000000000 000 300</t>
  </si>
  <si>
    <t>0801  0000000000 000 310</t>
  </si>
  <si>
    <t>1000  0000000000 000 200</t>
  </si>
  <si>
    <t>1000  0000000000 000 260</t>
  </si>
  <si>
    <t>1000  0000000000 000 262</t>
  </si>
  <si>
    <t>1101  0000000000 000 200</t>
  </si>
  <si>
    <t>1101  0000000000 000 226</t>
  </si>
  <si>
    <t>1101  0000000000 000 300</t>
  </si>
  <si>
    <t>1101  0000000000 000 310</t>
  </si>
  <si>
    <t>1101  0000000000 000 340</t>
  </si>
  <si>
    <t>1200 0000000000 000 200</t>
  </si>
  <si>
    <t>1200 0000000000 000 220</t>
  </si>
  <si>
    <t>1200  0000000000 000 226</t>
  </si>
  <si>
    <t>0300 00 0 00 00000 000</t>
  </si>
  <si>
    <t xml:space="preserve">0309 00 0 00 00000 000 </t>
  </si>
  <si>
    <t xml:space="preserve">0309 07 0 00 10320 000 </t>
  </si>
  <si>
    <t>0310 07 0 00 10330 000</t>
  </si>
  <si>
    <t>0310 07 0 00 10330 244 226</t>
  </si>
  <si>
    <t>0400 0000000000 000 220</t>
  </si>
  <si>
    <t>0400 0000000000 000 225</t>
  </si>
  <si>
    <t>0400 0000000000 000 226</t>
  </si>
  <si>
    <t>0409 00 0 00 00000 000</t>
  </si>
  <si>
    <t>0409 05 0 00 20380 000</t>
  </si>
  <si>
    <t>0409 05 0 00 20380 243 225</t>
  </si>
  <si>
    <t>0409 05 0 00 20380 244 226</t>
  </si>
  <si>
    <t xml:space="preserve">0500 00 0 00 00000 000 </t>
  </si>
  <si>
    <t xml:space="preserve">0502 00 0 00 00000 000 </t>
  </si>
  <si>
    <t xml:space="preserve">0502 08 0 00 40260 000 </t>
  </si>
  <si>
    <t>0502 08 0 00 40260 810 241</t>
  </si>
  <si>
    <t>0502 08 0 00 70100 000</t>
  </si>
  <si>
    <t>0502 08 0 00 70100 414 310</t>
  </si>
  <si>
    <t xml:space="preserve">0503 00 0 00 00000 000 </t>
  </si>
  <si>
    <t xml:space="preserve">0503 07 0 00 41000 000 </t>
  </si>
  <si>
    <t>0503 07 0 00 41000 244 225</t>
  </si>
  <si>
    <t>0503 07 0 00 41000 244 340</t>
  </si>
  <si>
    <t>0501 0000000000 000 200</t>
  </si>
  <si>
    <t>0501 0000000000 000 220</t>
  </si>
  <si>
    <t>0501 0000000000 000 225</t>
  </si>
  <si>
    <t>0501 0000000000 000 226</t>
  </si>
  <si>
    <t>0501 0000000000 000 300</t>
  </si>
  <si>
    <t>0501 0000000000 000 310</t>
  </si>
  <si>
    <t>0501 07 0 00 40250 244 225</t>
  </si>
  <si>
    <t>0501 07 0 00 40250 244 226</t>
  </si>
  <si>
    <t>0501 07 0 00 40250 244 310</t>
  </si>
  <si>
    <t>0501 07 0 00 40250 000</t>
  </si>
  <si>
    <t xml:space="preserve">0501 0000000000 000 </t>
  </si>
  <si>
    <t>000  2 18 60010 10 0000  150</t>
  </si>
  <si>
    <t>000 2 02 49999 00 0000 150</t>
  </si>
  <si>
    <t>000  2 18 00000 10 0000  150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</si>
  <si>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</si>
  <si>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</si>
  <si>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0503 07 0 00 43000 000 </t>
  </si>
  <si>
    <t>0503 07 0 00 43000 244 225</t>
  </si>
  <si>
    <t>0503 07 0 00 43000 244 340</t>
  </si>
  <si>
    <t xml:space="preserve">0503 16 0 00 10340 000 </t>
  </si>
  <si>
    <t>0503 16 0 00 10340 244 340</t>
  </si>
  <si>
    <t xml:space="preserve">0700 00 0 00 00000 000 </t>
  </si>
  <si>
    <t xml:space="preserve">0707 04 0 00 20060 000 </t>
  </si>
  <si>
    <t>0707 0400020060 244 226</t>
  </si>
  <si>
    <t>0707  0400020060 244 290</t>
  </si>
  <si>
    <t>0707  0400020060 244 340</t>
  </si>
  <si>
    <t>0800 00 0 00 00000 000</t>
  </si>
  <si>
    <t>0801 00 0 00 00000 000</t>
  </si>
  <si>
    <t xml:space="preserve">0801 04 0 00 20070 000 </t>
  </si>
  <si>
    <t>0801 0400020070 111 211</t>
  </si>
  <si>
    <t>0801 0400020070 244 223</t>
  </si>
  <si>
    <t>0801 0400020070 244 225</t>
  </si>
  <si>
    <t>0801 0400020070 244 226</t>
  </si>
  <si>
    <t>0801 0400020070 244 310</t>
  </si>
  <si>
    <t xml:space="preserve">0801 04 0 00 20080 000 </t>
  </si>
  <si>
    <t>0801 0400020080 111 211</t>
  </si>
  <si>
    <t>0801 0400020080 244 226</t>
  </si>
  <si>
    <t>0801 0400020080 244 310</t>
  </si>
  <si>
    <t>1000 00 0 00 00000 000</t>
  </si>
  <si>
    <t>1003 07 0 00 10010 000</t>
  </si>
  <si>
    <t>1003 0700010010 313 262</t>
  </si>
  <si>
    <t xml:space="preserve">1101 00 0 00 00000 000 </t>
  </si>
  <si>
    <t xml:space="preserve">1101 04 0 00 20090 000 </t>
  </si>
  <si>
    <t>0409 05 0 00 20380 244 225</t>
  </si>
  <si>
    <t>1101 0400020090 244 226</t>
  </si>
  <si>
    <t>1101 0400020090 244 310</t>
  </si>
  <si>
    <t xml:space="preserve">1200 00 0 00 00000 000 </t>
  </si>
  <si>
    <t>1202 07 0 00 10030 000</t>
  </si>
  <si>
    <t>1202 07 0 00 10030 244 226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</si>
  <si>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поселений(сумма платежа)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</si>
  <si>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поселений(пени, проценты)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</si>
  <si>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поселений(взыскания)</t>
  </si>
  <si>
    <t>0503 07 0 00 41000 244 226</t>
  </si>
  <si>
    <t xml:space="preserve"> Земельный налог, взимаемый по ставкам, установленным в соответствии с подпунктом 2 пункта 1 статьи 394 Налогового кодекса Российской Федерации
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</si>
  <si>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</si>
  <si>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поселений(сумма платежа)</t>
  </si>
  <si>
    <t>Доходы от компенсации затрат государства</t>
  </si>
  <si>
    <t>000 1 13 02 000 00 0000 130</t>
  </si>
  <si>
    <t xml:space="preserve">Прочие доходы от компенсации затрат бюджетов поселений
</t>
  </si>
  <si>
    <t>000 1 13 02995 10 0000 130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</si>
  <si>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поселений(пени, проценты)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</si>
  <si>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поселений(взыскания)</t>
  </si>
  <si>
    <t>Государственная пошлина</t>
  </si>
  <si>
    <t>0503 0000000000 000 222</t>
  </si>
  <si>
    <t>0801  0000000000 000 340</t>
  </si>
  <si>
    <t xml:space="preserve"> Государственная пошлина за совершение нотариальных действий (за исключением действий, совершаемых консульскими учреждениями Российской Федерации)
</t>
  </si>
  <si>
    <t xml:space="preserve">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
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</si>
  <si>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действий(прочие поступления)</t>
  </si>
  <si>
    <t>Мероприятия по развитию водоснабжения в  сельской местности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</si>
  <si>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</si>
  <si>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Государственная пошлина за государственную регистрацию транспортных средств и иные юридически значимые действия ,связаннфе с изхменениями и выдачей документов на транспортные средства,выдачей регистрацилнных знаков а также за совершение прочих юридически </t>
  </si>
  <si>
    <t>Налог на прибыль организаций, зачисляемый в местные бюджеты (в части сумм по расчетам за 2004 год и погашения задолженности прошлых лет)</t>
  </si>
  <si>
    <t>- налог на имущество предприятий</t>
  </si>
  <si>
    <t>Прочие налоги и сборы (по отмененным  местным налогам и сборам)</t>
  </si>
  <si>
    <t>- налог на рекламу</t>
  </si>
  <si>
    <t>- прочие местные налоги и сборы</t>
  </si>
  <si>
    <t>Земельный налог (по обязательствам,возникшим до 1 января 2006 года)</t>
  </si>
  <si>
    <t>0502 0805018 000</t>
  </si>
  <si>
    <t>0502 0805018 414 310</t>
  </si>
  <si>
    <t>0502  0805018  414 225</t>
  </si>
  <si>
    <t>0502  0805018  414 226</t>
  </si>
  <si>
    <t>0502  0805018  414 340</t>
  </si>
  <si>
    <t>Субсидия на реализацию мероприятий федеральной целевой программы «Устойчивое развитие сельских территорий на 2014-2017 годы и на период до 2020 года»</t>
  </si>
  <si>
    <t>Земельный налог (по обязательствам,возникшим до 1 января 2006 года),мобилизуемый на территориях поселений</t>
  </si>
  <si>
    <t xml:space="preserve">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</si>
  <si>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Доходы,получаемые в виде арендной платы за земельные участки,государственная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</si>
  <si>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 xml:space="preserve">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
</t>
  </si>
  <si>
    <t>Доходы от   сдачи  в  аренду  имущества, находящегося в оперативном    управлении органов государственной власти,  органов местного самоуправления, государственных внебюджетных фондов и созданных      ими учреждений и в хозяйственном     ведении федеральн</t>
  </si>
  <si>
    <t xml:space="preserve">Доходы от  сдачи  в  аренду   имущества, находящегося в оперативном    управлении  органов управления поселений и созданных ими учреждений и в хозяйственном ведении муниципальных унитарных предприятий
</t>
  </si>
  <si>
    <t>Прочие поступления от использования имущества и прав, находящихся в гос.и муниц.собственности ( за искл.имущества автон.учр., а также имущ.гос.и муниц.унитарных предпр., в т.ч. казенных)</t>
  </si>
  <si>
    <t>0102  0700010100 129 213</t>
  </si>
  <si>
    <t>0104 0700010140 129 213</t>
  </si>
  <si>
    <t>0801 0400020070 119 213</t>
  </si>
  <si>
    <t>0801 0400020080 119 213</t>
  </si>
  <si>
    <t>0100 0000000000 000 266</t>
  </si>
  <si>
    <t>0801  0000000000 000 266</t>
  </si>
  <si>
    <t>0800  0000000000 000 266</t>
  </si>
  <si>
    <t>0801  0000000000 000 346</t>
  </si>
  <si>
    <t>0801  0000000000 000 349</t>
  </si>
  <si>
    <t>1101  0000000000 000 349</t>
  </si>
  <si>
    <t>16.10.17</t>
  </si>
  <si>
    <t>18.10.2017</t>
  </si>
  <si>
    <t>0102  0700010100 121 211</t>
  </si>
  <si>
    <t>Прочие поступления от использования имущества , находящегося в собственности поселений( за искл.имущества  муниц.автон.учр., а также имущ. муниц.унитарных предпр., в т.ч. казенных)</t>
  </si>
  <si>
    <t>Доходы от оказания платных услуг (работ)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</si>
  <si>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</si>
  <si>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</si>
  <si>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Субвенции на организационное обеспечение деятельности территориальных административных комиссий</t>
  </si>
  <si>
    <t xml:space="preserve">Резервные фонды </t>
  </si>
  <si>
    <t>Национальная безопасность и правоохранительная деятельность</t>
  </si>
  <si>
    <t>Дорожное хозяйство (дорожные фонды)</t>
  </si>
  <si>
    <t xml:space="preserve">Ремонт и содержание автомобильных дорог общего пользования </t>
  </si>
  <si>
    <t>Мероприятия по энергосбережению и повышению энергетической эффективности</t>
  </si>
  <si>
    <t>Культура, кинематография</t>
  </si>
  <si>
    <t>Дворцы и дома культуры, другие учреждения культуры</t>
  </si>
  <si>
    <t>Мероприятия в области физической культуры и спорта</t>
  </si>
  <si>
    <t>Периодическая печать и издательства</t>
  </si>
  <si>
    <t xml:space="preserve"> Прочие доходы от оказания платных услуг (работ) получателями средств бюджетов поселений
</t>
  </si>
  <si>
    <t>Бюджетные кредиты от других бюджетов бюджетной  системы Российской Федерации</t>
  </si>
  <si>
    <t xml:space="preserve"> Получение    кредитов  от   других бюджетов бюджетной системы Российской Федерации бюджетами  поселений в  валюте РФ</t>
  </si>
  <si>
    <t>000 01 03 00 00  00 0000 000</t>
  </si>
  <si>
    <t>Погашение бюджетами поселений кредитов от  других бюджетов бюджетной системы Российской  Федерации в валюте Российской Федерации</t>
  </si>
  <si>
    <t>000 01 03 00 00 10 0000 810</t>
  </si>
  <si>
    <t xml:space="preserve">000 01 03 01 00 10 0000 710 </t>
  </si>
  <si>
    <t>000 06 00 00 00 00 0000 430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</si>
  <si>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</si>
  <si>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 xml:space="preserve"> 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
</t>
  </si>
  <si>
    <t xml:space="preserve"> Доходы от продажи земельных участков, государственная собственность на которые не разграничена и которые расположены в границах поселений
</t>
  </si>
  <si>
    <t>Безвозмездные поступления от других бюджетов бюджетной системы Р.Ф.</t>
  </si>
  <si>
    <t>Субвенции на осуществление федеральных  полномочий по государственной регистрации актов гражданского состояния</t>
  </si>
  <si>
    <t>Субвенции бюджетам  на осуществление   первичного воинского учета на территориях, где отсутствуют военные комиссариаты</t>
  </si>
  <si>
    <t>Субвенции бюджетам поселений, на осуществление  первичного воинского учета на территориях, где отсутствуют военные комиссариаты</t>
  </si>
  <si>
    <t>Всего доходов</t>
  </si>
  <si>
    <t>Доходы</t>
  </si>
  <si>
    <t>Налог на доходы физических лиц</t>
  </si>
  <si>
    <t>Налоги на совокупный доход</t>
  </si>
  <si>
    <t>Единый сельскохозяйственный налог</t>
  </si>
  <si>
    <t>0203 9900051180 244 310</t>
  </si>
  <si>
    <t>Прочие межбюджетные трансферты, передаваемые бюджетам</t>
  </si>
  <si>
    <t>000 1 06 06033 10 4000 110</t>
  </si>
  <si>
    <t xml:space="preserve"> Земельный налог с организаций, обладающих земельным участком, расположенным в границах сельских поселений
</t>
  </si>
  <si>
    <t>Субсидии бюджетам поселений на софинансирование капитальных вложений в объекты муниципальной собственности</t>
  </si>
  <si>
    <t>Субсидии бюджетам на софинансирование капитальных вложений в объекты муниципальной собственности</t>
  </si>
  <si>
    <t>000 2 02 02077 10 0000 151</t>
  </si>
  <si>
    <t>000 2 02 02077 00 0000 151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</si>
  <si>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</si>
  <si>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</si>
  <si>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Штрафы, санкции, возмещение ущерба</t>
  </si>
  <si>
    <t>000 1 16 00000 00 0000 000</t>
  </si>
  <si>
    <t>000 90 00 00 00 00 0000 000</t>
  </si>
  <si>
    <t>000 01 05 00 00 00 0000 600</t>
  </si>
  <si>
    <t>1001 07 0 00 10020 312</t>
  </si>
  <si>
    <t>000 01 05 02 01 00 0000 610</t>
  </si>
  <si>
    <t>000 01 05 02 01 05 0000 610</t>
  </si>
  <si>
    <t>0502 0000000 000 340</t>
  </si>
  <si>
    <t xml:space="preserve">Физическая культура </t>
  </si>
  <si>
    <t>Средства массовой информации</t>
  </si>
  <si>
    <t>Приобретение услуг</t>
  </si>
  <si>
    <t>Прочие услуги</t>
  </si>
  <si>
    <t>000 1 01 02030 01 3000 110</t>
  </si>
  <si>
    <t>Прочие неналоговые доходы</t>
  </si>
  <si>
    <t>000 1 06 06033 10 1000 110</t>
  </si>
  <si>
    <t>000 1 06 06033 10 2000 110</t>
  </si>
  <si>
    <t xml:space="preserve"> Земельный налог с организаций, обладающих земельным участком, расположенным в границах сельских поселений (сумма н-га)
</t>
  </si>
  <si>
    <t xml:space="preserve"> Земельный налог с организаций, обладающих земельным участком, расположенным в границах сельских поселений (пени)
</t>
  </si>
  <si>
    <t>000 1 06 06043 10 1000 110</t>
  </si>
  <si>
    <t xml:space="preserve"> Земельный налог с физических лиц, обладающих земельным участком, расположенным в границах сельских поселений  (сумма н-га)
</t>
  </si>
  <si>
    <t xml:space="preserve"> Земельный налог с физических лиц, обладающих земельным участком, расположенным в границах сельских поселений  (пени)
</t>
  </si>
  <si>
    <t xml:space="preserve"> Земельный налог с физических лиц, обладающих земельным участком, расположенным в границах сельских поселений  (штраф)
</t>
  </si>
  <si>
    <t>000 1 06 06043 10 2000 110</t>
  </si>
  <si>
    <t>000 1 06 06043 10 3000 110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</si>
  <si>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</si>
  <si>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</si>
  <si>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</si>
  <si>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поселений</t>
  </si>
  <si>
    <t>000 1 17 01050 10 0000 180</t>
  </si>
  <si>
    <t xml:space="preserve">Прочие неналоговые доходы </t>
  </si>
  <si>
    <t>000 1 17 05000 00 0000 180</t>
  </si>
  <si>
    <t>Прочие неналоговые доходы бюджетов поселений</t>
  </si>
  <si>
    <t>000 1 17 05050 10 0000 180</t>
  </si>
  <si>
    <t>Возврат остатков субсидий и субвенций и иных межбюджетных трансфертов, имеющих целевое назначение, прошлых лет</t>
  </si>
  <si>
    <t>000 2 18 00000 00 0000 000</t>
  </si>
  <si>
    <t>000 2 18 05000 00 0000 151</t>
  </si>
  <si>
    <t>Возврат остатков субсидий и субвенций и иных межбюджетных трансфертов, имеющих целевое назначение, прошлых лет, из бюджетов поселений</t>
  </si>
  <si>
    <t>000 2 18 05010 10 0000 151</t>
  </si>
  <si>
    <t>Субсидии бюджетам субъектов Российской Федерации и муниципальных образований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</si>
  <si>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дорог федерального значения)</t>
  </si>
  <si>
    <t>000 2 02 02041 00 0000 151</t>
  </si>
  <si>
    <t>0405 07 0 00 20240 244 225</t>
  </si>
  <si>
    <t>0405 07 0 00 20240 244 220</t>
  </si>
  <si>
    <t>0405 07 0 00 20240 244 200</t>
  </si>
  <si>
    <t>Субсидии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дорог федерального значения)</t>
  </si>
  <si>
    <t>000 2 02 02041 10 0000 151</t>
  </si>
  <si>
    <t>Прочие субсидии бюджетам</t>
  </si>
  <si>
    <t>000 2 02 02999 00 0000 151</t>
  </si>
  <si>
    <t>Прочии субсидии бюджетам поселений</t>
  </si>
  <si>
    <t>000 2 02 02999 10 0000 151</t>
  </si>
  <si>
    <t>транспортные расходы</t>
  </si>
  <si>
    <t>Перечисления другим бюджетам бюджетной системы Российской Федерации</t>
  </si>
  <si>
    <t>Безвозмездные перечисления бюджетам</t>
  </si>
  <si>
    <t>3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</si>
  <si>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</si>
  <si>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000 1 09 04053 10 0000 110</t>
  </si>
  <si>
    <t>000 1 11 05013 10 0000 120</t>
  </si>
  <si>
    <t>000 1 13 01 000 00 0000 130</t>
  </si>
  <si>
    <t>Арендная плата за пользование имуществом</t>
  </si>
  <si>
    <t>0502 0000000 000 242</t>
  </si>
  <si>
    <t>0500 0000000 000 242</t>
  </si>
  <si>
    <t>безвозмез.  перечисления госуд. и муниц.орган.</t>
  </si>
  <si>
    <t>Сельское хозяйство и рыболовство</t>
  </si>
  <si>
    <t>Иные межбюджетные трансферты</t>
  </si>
  <si>
    <t xml:space="preserve">Межбюджетные трансферты, передаваемые бюджетам поселений для компенсации дополнительных расходов, возникших в результате решений, принятых   органами власти другого уровня </t>
  </si>
  <si>
    <t>Работы, услуги по содержанию имущества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</si>
  <si>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</si>
  <si>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Национальная Экономика</t>
  </si>
  <si>
    <t>Доходы от продажи материальных и нематериальных активов</t>
  </si>
  <si>
    <t>0405 0000000000 000 200</t>
  </si>
  <si>
    <t>0203 9900051180 244 340</t>
  </si>
  <si>
    <t>0405 0000000000 000 220</t>
  </si>
  <si>
    <t>0405 00 0 00 00000 000</t>
  </si>
  <si>
    <t>0405 07 0 00 00000 000</t>
  </si>
  <si>
    <t>0502 0000000000 000 310</t>
  </si>
  <si>
    <t>Субвенции местным бюджетам на выполнение передаваемых полномочий субъектов Российской Федерации</t>
  </si>
  <si>
    <t>Итого доходов</t>
  </si>
  <si>
    <t>М.П.</t>
  </si>
  <si>
    <t>0503 070 00 43000 244 222</t>
  </si>
  <si>
    <t>0100 0000000000 000 212</t>
  </si>
  <si>
    <t xml:space="preserve"> 0503127 </t>
  </si>
  <si>
    <t>0100 0000000 000 240</t>
  </si>
  <si>
    <t>0100 0000000 000 241</t>
  </si>
  <si>
    <t>безвозмездные и безвозвратные перечисления организациям</t>
  </si>
  <si>
    <t>безвозмездные и безвозвратные перечисления гос и мун организациям</t>
  </si>
  <si>
    <t>Мобилизационная и вневойсковая подготовка</t>
  </si>
  <si>
    <t>Образование</t>
  </si>
  <si>
    <t>Молодежная политика и оздоровление детей</t>
  </si>
  <si>
    <t>Итого</t>
  </si>
  <si>
    <t>Субвенции бюджетам субъектов Российской Федерации и муниципальных образований</t>
  </si>
  <si>
    <t>0502 3510600 500</t>
  </si>
  <si>
    <t>0502 3510600 500 500</t>
  </si>
  <si>
    <t>поступление финансовых активов</t>
  </si>
  <si>
    <t>увел.стоимости акций и иных форм участия в капиталле</t>
  </si>
  <si>
    <t>0103 0701012 121 211</t>
  </si>
  <si>
    <t xml:space="preserve">0103 0701012 000 </t>
  </si>
  <si>
    <t>0103 0701012 121 213</t>
  </si>
  <si>
    <t>увел.стоимости материальных запасов</t>
  </si>
  <si>
    <t>09.10.2017</t>
  </si>
  <si>
    <t>11.10.2017</t>
  </si>
  <si>
    <t>13.10.2017</t>
  </si>
  <si>
    <t>0203 9905118 244 222</t>
  </si>
  <si>
    <t>0503 0704100 244 290</t>
  </si>
  <si>
    <t>0502 0000000 000 226</t>
  </si>
  <si>
    <t>на</t>
  </si>
  <si>
    <t xml:space="preserve"> </t>
  </si>
  <si>
    <t>000 1 08 00000 00 0000 000</t>
  </si>
  <si>
    <t>Уличное освещение</t>
  </si>
  <si>
    <t>Озеленение</t>
  </si>
  <si>
    <t>Функц.представительных органов мес самоуправления</t>
  </si>
  <si>
    <t>0500 0000000 000 290</t>
  </si>
  <si>
    <t>Социальная политика</t>
  </si>
  <si>
    <t>Соцальное обеспечение</t>
  </si>
  <si>
    <t>Пособия по социальной помощи населению</t>
  </si>
  <si>
    <t>Межбюджетные трансферты, передаваемые бюджетам для компенсации дополнительных расходов, возникших в результате решений, принятых   органами власти другого уровня</t>
  </si>
  <si>
    <t>Социальное обеспечение населения</t>
  </si>
  <si>
    <t>Социальные пособия и компенсации персоналу в денежной форме</t>
  </si>
  <si>
    <t>начисления на оплату труда</t>
  </si>
  <si>
    <t>0104 0700010140 121 266</t>
  </si>
  <si>
    <t xml:space="preserve">Социальные пособия и компенсации персоналу в денежной форме </t>
  </si>
  <si>
    <t>0801 0400020070 111 266</t>
  </si>
  <si>
    <t>0801 0400020070 244 346</t>
  </si>
  <si>
    <t>0801 0400020070 244 349</t>
  </si>
  <si>
    <t>1101 0400020090 244 346</t>
  </si>
  <si>
    <t>1101 0400020090 244 349</t>
  </si>
  <si>
    <t>Администрация Кузьмичевского сельского поселения</t>
  </si>
  <si>
    <t>строки</t>
  </si>
  <si>
    <t>Мероприятия по гражданской обороне</t>
  </si>
  <si>
    <t xml:space="preserve">0501 3500200 500 </t>
  </si>
  <si>
    <t>0501 3500200 500 200</t>
  </si>
  <si>
    <t>0501 3500200 500 220</t>
  </si>
  <si>
    <t>0501 3500200 500 225</t>
  </si>
  <si>
    <t>Мероприятия в области жилищного хозяйства</t>
  </si>
  <si>
    <t>0502 0000000 000 300</t>
  </si>
  <si>
    <t>Мероприятия в области коммунального хозяйства</t>
  </si>
  <si>
    <t>Благоустройство</t>
  </si>
  <si>
    <t>Организация и содержание мест захоронения</t>
  </si>
  <si>
    <t>Библиотеки</t>
  </si>
  <si>
    <t>Форма 0503127 с.2</t>
  </si>
  <si>
    <t>Капитальный ремонт гос. Жилого фонда …</t>
  </si>
  <si>
    <t>Обеспечение проведения выборов и референдумов</t>
  </si>
  <si>
    <t xml:space="preserve">                                              (подпись)                (расшифровка подписи)</t>
  </si>
  <si>
    <t>Коммунальные услуги</t>
  </si>
  <si>
    <t>0103 102479900001</t>
  </si>
  <si>
    <t>увел.стоим.осн.средств</t>
  </si>
  <si>
    <t xml:space="preserve">Единица измерения:  руб </t>
  </si>
  <si>
    <t xml:space="preserve">                         ОТЧЕТ  ОБ  ИСПОЛНЕНИИ БЮДЖЕТА</t>
  </si>
  <si>
    <t>4</t>
  </si>
  <si>
    <t>5</t>
  </si>
  <si>
    <t>Неисполненные</t>
  </si>
  <si>
    <t>назначения</t>
  </si>
  <si>
    <t>КОДЫ</t>
  </si>
  <si>
    <t xml:space="preserve"> Наименование показателя</t>
  </si>
  <si>
    <t>законом о бюджете,</t>
  </si>
  <si>
    <t>в том числе:</t>
  </si>
  <si>
    <t>Код дохода по КД</t>
  </si>
  <si>
    <t>0409 05 0 00 20380 244 340</t>
  </si>
  <si>
    <t xml:space="preserve">Доходы, утвержденные </t>
  </si>
  <si>
    <t xml:space="preserve">         Исполнено</t>
  </si>
  <si>
    <t>через лицевые</t>
  </si>
  <si>
    <t>счета органов,</t>
  </si>
  <si>
    <t>0104 0700010140 244 346</t>
  </si>
  <si>
    <t>0104 0700010140 244 349</t>
  </si>
  <si>
    <t>0104 0700010140 853 291</t>
  </si>
  <si>
    <t>0104 0700010140 853 292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</si>
  <si>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</si>
  <si>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</si>
  <si>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0107 07 0 00 10190 000</t>
  </si>
  <si>
    <t>0107 0700010190 880 297</t>
  </si>
  <si>
    <t>0107 0700010190 880 290</t>
  </si>
  <si>
    <t>0111 9900020010 870 200</t>
  </si>
  <si>
    <t>0113 0700020210 853 297</t>
  </si>
  <si>
    <t>0113 0700020210 244 340</t>
  </si>
  <si>
    <t>штрафынарушение законодательства о закупках и нарушение условий контрактов (договоров)</t>
  </si>
  <si>
    <t xml:space="preserve">иные выплаты текущего характера организациям </t>
  </si>
  <si>
    <t>0113 0700020210 244 342</t>
  </si>
  <si>
    <t>0113 0700020210 244 349</t>
  </si>
  <si>
    <t>увел.стоимости продуктов питания</t>
  </si>
  <si>
    <t>0113 0000000000 000 300</t>
  </si>
  <si>
    <t>0113 0000000000 000 340</t>
  </si>
  <si>
    <t>увел.стоимости мягкого инвентаря</t>
  </si>
  <si>
    <t>Иные межбюджетные трансферты на реализацию мероприятий в сфере дорожной деятельности</t>
  </si>
  <si>
    <t>0409 05 0 00 71740 000</t>
  </si>
  <si>
    <t>0409 0000000000 000 300</t>
  </si>
  <si>
    <t>0409 0000000000 000 310</t>
  </si>
  <si>
    <t>0409 0000000000 000 340</t>
  </si>
  <si>
    <t>0409 05 0 00 71740 243 200</t>
  </si>
  <si>
    <t>0409 05 0 00 71740 243 220</t>
  </si>
  <si>
    <t>0409 05 0 00 71740 243 225</t>
  </si>
  <si>
    <t>увел.стоимости горюче-смазочных материалов</t>
  </si>
  <si>
    <t>увел.стоимости строительных материалов</t>
  </si>
  <si>
    <t>0707  0400020060 244 349</t>
  </si>
  <si>
    <t>0707  0400020060 244 342</t>
  </si>
  <si>
    <t>0503 16 0 00 10340 244 346</t>
  </si>
  <si>
    <t>0801 0400020070 243 225</t>
  </si>
  <si>
    <t>0801 0400020070 853 291</t>
  </si>
  <si>
    <t>0801 0400020070 853 292</t>
  </si>
  <si>
    <t>0801 0400020070 244 342</t>
  </si>
  <si>
    <t>0801 0400020070 244 343</t>
  </si>
  <si>
    <t>0801 0400020070 244 227</t>
  </si>
  <si>
    <t>0800  0000000000 000 227</t>
  </si>
  <si>
    <t>0801  0000000000 000 227</t>
  </si>
  <si>
    <t>страхование</t>
  </si>
  <si>
    <t>0801  0000000000 000 342</t>
  </si>
  <si>
    <t>0801  0000000000 000 343</t>
  </si>
  <si>
    <t>1101  0000000000 000 346</t>
  </si>
  <si>
    <t>000 2 02 40000 00 0000 150</t>
  </si>
  <si>
    <t>000 2 04 05099 10 0000 150</t>
  </si>
  <si>
    <t>Прочие безвозмездные поступления от негосударственных организаций в бюджеты сельских поселений</t>
  </si>
  <si>
    <t>Безвозмездные поступления от негосударственных организаций в бюджеты сельских поселений</t>
  </si>
  <si>
    <t>000 2 04 05000 10 0000 150</t>
  </si>
  <si>
    <t>Безвозмездные поступления от негосударственных организаций</t>
  </si>
  <si>
    <t>000 2 04 00000 00 0000 150</t>
  </si>
  <si>
    <t xml:space="preserve">               (подпись)                     (расшифровка подписи)</t>
  </si>
  <si>
    <r>
      <t xml:space="preserve">экономической службы        ___________________________   </t>
    </r>
    <r>
      <rPr>
        <b/>
        <u/>
        <sz val="8"/>
        <rFont val="Arial Cyr"/>
        <charset val="204"/>
      </rPr>
      <t>Е. Н. Немцова</t>
    </r>
  </si>
  <si>
    <r>
      <t xml:space="preserve">Главный бухгалтер     ________________         </t>
    </r>
    <r>
      <rPr>
        <b/>
        <u/>
        <sz val="8"/>
        <rFont val="Arial Cyr"/>
        <charset val="204"/>
      </rPr>
      <t xml:space="preserve"> Гурова Ю.А.</t>
    </r>
  </si>
  <si>
    <t>0104 9900070010 244 221</t>
  </si>
  <si>
    <t>Перечисления другим бюджетам бюджетной системы РФ</t>
  </si>
  <si>
    <t>0409  0000000000 000 251</t>
  </si>
  <si>
    <t>0409  0000000000 000 250</t>
  </si>
  <si>
    <t>0400 0000000000 000 250</t>
  </si>
  <si>
    <t>0400 0000000000 000 251</t>
  </si>
  <si>
    <t>0801 0400020070 853 293</t>
  </si>
  <si>
    <t>000 1 16 46000 00 0000 140</t>
  </si>
  <si>
    <t>000 1 16 46000 10 0000 140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</si>
  <si>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</si>
  <si>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сельских поселений, либо в связи с уклонением от заключения таких контрактов или иных договоров</t>
  </si>
  <si>
    <t>0104 9900070010 244 346</t>
  </si>
  <si>
    <t>0801 0400020080 244 346</t>
  </si>
  <si>
    <t>Борисенко П.С.</t>
  </si>
  <si>
    <t>1003 0700010010 360 296</t>
  </si>
  <si>
    <t>1000  0000000000 000 296</t>
  </si>
  <si>
    <t>1000  0000000000 000 290</t>
  </si>
  <si>
    <t>Прочие расходы</t>
  </si>
  <si>
    <t>Иные выплаты текущего характера физическим лицам</t>
  </si>
  <si>
    <t>0113 0700020210 853 291</t>
  </si>
  <si>
    <t>0801 0400020080 244 342</t>
  </si>
  <si>
    <t xml:space="preserve">1101 10 0 00 10350 000 </t>
  </si>
  <si>
    <t>1101 1000010350 414 310</t>
  </si>
  <si>
    <t>0104 0700010140 242 225</t>
  </si>
  <si>
    <t>0104 0700010140 242 226</t>
  </si>
  <si>
    <t>0113 0700020210 852 290</t>
  </si>
  <si>
    <t>0113 0700020210 852 291</t>
  </si>
  <si>
    <t>0113 0700020210 853 292</t>
  </si>
  <si>
    <t>0203 9900051180 244 221</t>
  </si>
  <si>
    <t>0300  0000000000 000 310</t>
  </si>
  <si>
    <t>0503 07 0 00 41000 247 223</t>
  </si>
  <si>
    <t>0503 04 0 00 20120 244 222</t>
  </si>
  <si>
    <t xml:space="preserve">0503  04 0 00 20120 000 </t>
  </si>
  <si>
    <t>0503  04 0 00 20120 244 225</t>
  </si>
  <si>
    <t>0503 04 0 00 20120 244 226</t>
  </si>
  <si>
    <t>0503 04 0 00 20120 244 310</t>
  </si>
  <si>
    <t>0503 04 0 00 20120 244 340</t>
  </si>
  <si>
    <t>0503 04 0 00 20120 244 343</t>
  </si>
  <si>
    <t>0503 04 0 00 20120 244 344</t>
  </si>
  <si>
    <t>0503 04 0 00 20120 244 345</t>
  </si>
  <si>
    <t>0503 04 0 00 20120 244 346</t>
  </si>
  <si>
    <t>0503 04 0 00 20120 244 349</t>
  </si>
  <si>
    <t>0801 0400020070 247 223</t>
  </si>
  <si>
    <t>0801 0400020070 852 291</t>
  </si>
  <si>
    <t>0801 0400020070 242 226</t>
  </si>
  <si>
    <t>0801 0400020080 244 349</t>
  </si>
  <si>
    <t>000 1 11 09080 10 0000 120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</si>
  <si>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</si>
  <si>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</si>
  <si>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</si>
  <si>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</si>
  <si>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</si>
  <si>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0310 00 0 00 00000 000 </t>
  </si>
  <si>
    <t>0310  0000000000 000 200</t>
  </si>
  <si>
    <t>0310  0000000000 000 300</t>
  </si>
  <si>
    <t>0310  0000000000 000 340</t>
  </si>
  <si>
    <t>0310  0000000000 000 345</t>
  </si>
  <si>
    <t>Мероприятия по предупреждению и ликвидации последствий  чрезвычайных ситуаций и стихийных бедствий</t>
  </si>
  <si>
    <t>Мероприятия по обеспечению пожарной безопасности</t>
  </si>
  <si>
    <t>0310  0000000000 000 310</t>
  </si>
  <si>
    <t>0409 05 0 00 20380 244 346</t>
  </si>
  <si>
    <t>увел.стоимости прочих (материалов)</t>
  </si>
  <si>
    <t>0503 0000000000 000 250</t>
  </si>
  <si>
    <t>0503  0000000000 000 251</t>
  </si>
  <si>
    <t>1101  0000000000 000 290</t>
  </si>
  <si>
    <t>1101  0000000000 000 296</t>
  </si>
  <si>
    <t>0400 0000000000 000 300</t>
  </si>
  <si>
    <t>0400 0000000000 000 340</t>
  </si>
  <si>
    <t>0500  0000000000 000 250</t>
  </si>
  <si>
    <t>0500  0000000000 000 251</t>
  </si>
  <si>
    <t>1101 0400020090 113 226</t>
  </si>
  <si>
    <t>0310 07 0 00 10310 244 345</t>
  </si>
  <si>
    <t xml:space="preserve">0310 07 0 00 10310 000 </t>
  </si>
  <si>
    <t xml:space="preserve">0801 0400020080 111 266 </t>
  </si>
  <si>
    <t>0801 0400020070 853 295</t>
  </si>
  <si>
    <t>0707 0400020060 244 346</t>
  </si>
  <si>
    <t>0707  0400020060 244 310</t>
  </si>
  <si>
    <t>0113 0700020210 244 346</t>
  </si>
  <si>
    <t>0203 9900051180 121 266</t>
  </si>
  <si>
    <t>Другие экономические санкции</t>
  </si>
  <si>
    <t>000 2 02 45519 10 0000 150</t>
  </si>
  <si>
    <t>Межбюджетные трансферты, передаваемые бюджетам сельских поселений на поддержку отрасли культуры</t>
  </si>
  <si>
    <t>Государственная поддержка отрасли культуры</t>
  </si>
  <si>
    <t>Прочие безвозмездные поступления</t>
  </si>
  <si>
    <t>000 2 07 00000 00 0000 150</t>
  </si>
  <si>
    <t>Прочие безвозмездные поступления в бюджеты сельских поселений</t>
  </si>
  <si>
    <t>000 2 07 05030 10 0000 150</t>
  </si>
  <si>
    <t>Прочие межбюджетные трансферты, передаваемые бюджетам сельских поселений</t>
  </si>
  <si>
    <t>000 2 02 49999 10 0000 150</t>
  </si>
  <si>
    <t>000 2 02 45519 00 0000 150</t>
  </si>
  <si>
    <t xml:space="preserve">Межбюджетные трансферты, передаваемые бюджетам на поддержку отрасли культуры </t>
  </si>
  <si>
    <t>0310 07 0 00 10310 123 296</t>
  </si>
  <si>
    <t>0409 05 0 00 S1740 244 200</t>
  </si>
  <si>
    <t>0409 05 0 00 S1740 244 220</t>
  </si>
  <si>
    <t>0409 05 0 00 S1740 244 225</t>
  </si>
  <si>
    <t>0409 05 0 00 S1740 000</t>
  </si>
  <si>
    <t>Мероприятия в сфере дорожной деятельности за счет иных межбюджетных трансфертов</t>
  </si>
  <si>
    <t>Содержание объектов благоустройства</t>
  </si>
  <si>
    <t xml:space="preserve">0503  04 0 00S2270  000 </t>
  </si>
  <si>
    <t>0503  04 0 00 S2270 244 225</t>
  </si>
  <si>
    <t>0801 0400020070 831 297</t>
  </si>
  <si>
    <t>Иные выплаты текущего характера</t>
  </si>
  <si>
    <t>0310  0000000000 000 296</t>
  </si>
  <si>
    <t>0310  0000000000 000 290</t>
  </si>
  <si>
    <t>0300  0000000000 000 296</t>
  </si>
  <si>
    <t>0300  0000000000 000 290</t>
  </si>
  <si>
    <t>0801 0400020070 244 222</t>
  </si>
  <si>
    <t>0503  04 0 00 S2270 244 310</t>
  </si>
  <si>
    <t>0503  04 0 00 S2270 244 346</t>
  </si>
  <si>
    <t>0503  04 0 00 S2270 244 340</t>
  </si>
  <si>
    <t>Единый сельскохозяйственный налог (штраф)</t>
  </si>
  <si>
    <t>000 1 05 03010 01 3000 110</t>
  </si>
  <si>
    <t>000 1 14 02053 10 0000 410</t>
  </si>
  <si>
    <t>Доходы от реализации иного имущества, находящегося в собственности поселений(за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</si>
  <si>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0503  04 0 00 S2270 244 343</t>
  </si>
  <si>
    <t xml:space="preserve">0801 04 0 00 72490 000 </t>
  </si>
  <si>
    <t>0801 04 0 00 72490 111 211</t>
  </si>
  <si>
    <t>0801 04 0 00 72490 119 213</t>
  </si>
  <si>
    <t>начисления  на оплату труда</t>
  </si>
  <si>
    <t>0800  0000000000 000 222</t>
  </si>
  <si>
    <t>0801  0000000000 000 222</t>
  </si>
  <si>
    <t>000 1 16 18000 00 0000 140</t>
  </si>
  <si>
    <t xml:space="preserve">Денежные взыскания (штрафы) за нарушение бюджетного законодательства (в части бюджетов субъектов Российской Федерации) </t>
  </si>
  <si>
    <t>Денежные взыскания (штрафы) за нарушение бюджетного законодательства Российской Федерации</t>
  </si>
  <si>
    <t>000 1 16 18000 02 0000 140</t>
  </si>
  <si>
    <t>1102 0400020090 244 345</t>
  </si>
  <si>
    <t>0503 07 0 00 41000 244 310</t>
  </si>
  <si>
    <t>0503 04 0 00 20140 244 310</t>
  </si>
  <si>
    <t xml:space="preserve">0503 04 0 00 20140 000 </t>
  </si>
  <si>
    <t>0801 0400020070 244 345</t>
  </si>
  <si>
    <t>0801  0000000000 000 345</t>
  </si>
  <si>
    <t>0102  0700010100 122 226</t>
  </si>
  <si>
    <t>Прочие выплаты</t>
  </si>
  <si>
    <t>000 1 16 02020 02 0000 140</t>
  </si>
  <si>
    <t xml:space="preserve"> Административные штрафы, установленные за-конами субъектов Российской Федерации об ад-министративных правонарушениях, за нарушение муниципальных правовых актов</t>
  </si>
  <si>
    <t>000 1 16 02020 00 0000 140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</si>
  <si>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</si>
  <si>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000 2 02 25467 10 0000 150</t>
  </si>
  <si>
    <t>000 2 02 25467 00 0000 150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</si>
  <si>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</si>
  <si>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0503  04 0 00S2270 244 346</t>
  </si>
  <si>
    <t>0503  04 0 00S2270 244 349</t>
  </si>
  <si>
    <t>0503  04 0 00S2270 244 340</t>
  </si>
  <si>
    <t>0801  0000000000 000 221</t>
  </si>
  <si>
    <t>0801 0400020070 244 221</t>
  </si>
  <si>
    <t>000 1 01 02080 01 1000 110</t>
  </si>
  <si>
    <t>000 1 01 02080 01 0000 110</t>
  </si>
  <si>
    <t>000 1 01 02130 01 0000 110</t>
  </si>
  <si>
    <t>000 1 01 02130 01 1000 110</t>
  </si>
  <si>
    <t>Налог на доходы физических лиц в части 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</si>
  <si>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</si>
  <si>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части суммы налога, превышающей 650 000 рублей, относящейся к части налоговой базы, превышающей 5 000 000 рублей (за исключением НДФЛ с сумм прибыли контролируемой иностранной компании, в том числе фиксированной)</t>
  </si>
  <si>
    <t>Налог на доходы физических лиц с доходов в виде дивидентов, источником которых является налоговый агент (в части суммы налога, не превышающей 650 000 рублей)</t>
  </si>
  <si>
    <t>0113 0700020210 244 222</t>
  </si>
  <si>
    <t>0113 0000000000 000 222</t>
  </si>
  <si>
    <t>0801  0000000000 000 347</t>
  </si>
  <si>
    <t>увел.стоимости материальных запасов для целей капитальных вложений</t>
  </si>
  <si>
    <t xml:space="preserve">0801 04 0 00 L4670 000 </t>
  </si>
  <si>
    <t>0801 04 0 00 L4670 244 310</t>
  </si>
  <si>
    <t>0801 04 0 00 L4670 244 347</t>
  </si>
  <si>
    <t>1101  0000000000 000 345</t>
  </si>
  <si>
    <t>0309 07 0 00 10320 244 222</t>
  </si>
  <si>
    <t>0309 07 0 00 10320 244 310</t>
  </si>
  <si>
    <t>0309 07 0 00 10320 244 349</t>
  </si>
  <si>
    <t>Транспортные услуги</t>
  </si>
  <si>
    <t>0309  0000000000 000 222</t>
  </si>
  <si>
    <t>0309  0000000000 000 300</t>
  </si>
  <si>
    <t>0309  0000000000 000 310</t>
  </si>
  <si>
    <t>0309  0000000000 000 340</t>
  </si>
  <si>
    <t>0300  0000000000 000 222</t>
  </si>
  <si>
    <t>0800  0000000000 000 221</t>
  </si>
  <si>
    <t>Обеспечение развития и укрепления материально-технической базы домов культуры в населенных пунктах с числом жителей до 50 тыс.чел.</t>
  </si>
  <si>
    <t>0801 0400020070 244 344</t>
  </si>
  <si>
    <t>0801  0000000000 000 344</t>
  </si>
  <si>
    <t>о бюджете на 2024 год</t>
  </si>
  <si>
    <t xml:space="preserve"> 2024 год</t>
  </si>
  <si>
    <t>0309 07 0 00 10320 244 346</t>
  </si>
  <si>
    <t>0104 0700010140 244 223</t>
  </si>
  <si>
    <t>0100 0000000000 000 223</t>
  </si>
  <si>
    <t>0100 0000000000 000 222</t>
  </si>
  <si>
    <t>Инициативные платежи, зачисляемые в бюджкты сельских поселений</t>
  </si>
  <si>
    <t>000 1 17 15030 10 0000 150</t>
  </si>
  <si>
    <t>000 1 17 15000 00 0000 150</t>
  </si>
  <si>
    <t xml:space="preserve">Инициативные платежи </t>
  </si>
  <si>
    <t>Межбюджетные трансферты для реализации мероприятий, связанных с организацией улично-дорожной сети населенных пунктов</t>
  </si>
  <si>
    <t>0503 04 0 00 20140 244 225</t>
  </si>
  <si>
    <t>0503 04 0 00 20140 244 226</t>
  </si>
  <si>
    <t>Прочие мероприятия по благоустройству территории поселения</t>
  </si>
  <si>
    <t>Иные межбюджетные трансферты для реализации проекта ("Благоустройство прилегающей территории к ДК пос. Кузьмичи" Кузьмичевское сельское поселение)</t>
  </si>
  <si>
    <t>0503 99 0 00S1770  000</t>
  </si>
  <si>
    <t>0503  99 0 00S1770 244 225</t>
  </si>
  <si>
    <t>0503 04 0 00 20140 244 346</t>
  </si>
  <si>
    <t>0503 04 0 00 20140 244 340</t>
  </si>
  <si>
    <t>0409 16 0 03 S1930  000</t>
  </si>
  <si>
    <t>0409 16 0 03 S1930 540 200</t>
  </si>
  <si>
    <t>0409 16 0 03 S1930 540 250</t>
  </si>
  <si>
    <t>0409 16 0 03 S1930 540 251</t>
  </si>
  <si>
    <t>0113 0700020210 853 293</t>
  </si>
  <si>
    <t>0409  05 0 00 20380 244 224</t>
  </si>
  <si>
    <t>арендная плата за пользование имуществом (за исключением земельных участков и других обособленных природных объектов)</t>
  </si>
  <si>
    <t>0409  0000000000 000 224</t>
  </si>
  <si>
    <t>0400  0000000000 000 224</t>
  </si>
  <si>
    <t>0102  0700010100 121 266</t>
  </si>
  <si>
    <t>0310 07 0 00 10330 244 345</t>
  </si>
  <si>
    <t>0113 0000000000 000 310</t>
  </si>
  <si>
    <t>0113 0700020210 244 310</t>
  </si>
  <si>
    <t xml:space="preserve">   01 января 2025 год</t>
  </si>
  <si>
    <t>04.01.2025</t>
  </si>
  <si>
    <t>09 января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</si>
</sst>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39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b/>
      <i/>
      <sz val="9"/>
      <name val="Arial CYR"/>
      <charset val="204"/>
    </font>
    <font>
      <sz val="7"/>
      <name val="Arial Cyr"/>
      <charset val="204"/>
    </font>
    <font>
      <b/>
      <u/>
      <sz val="8"/>
      <name val="Arial Cyr"/>
      <charset val="204"/>
    </font>
    <font>
      <sz val="6"/>
      <name val="Arial Cyr"/>
      <family val="2"/>
      <charset val="204"/>
    </font>
    <font>
      <b/>
      <i/>
      <u/>
      <sz val="10"/>
      <name val="Arial Cyr"/>
      <charset val="204"/>
    </font>
    <font>
      <i/>
      <u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b/>
      <i/>
      <u/>
      <sz val="10"/>
      <color indexed="10"/>
      <name val="Arial Cyr"/>
      <charset val="204"/>
    </font>
    <font>
      <sz val="8"/>
      <color indexed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 Cyr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1"/>
      <color indexed="8"/>
      <name val="Arial Cyr"/>
      <charset val="204"/>
    </font>
    <font>
      <b/>
      <i/>
      <u/>
      <sz val="10"/>
      <color indexed="8"/>
      <name val="Arial Cyr"/>
      <charset val="204"/>
    </font>
    <font>
      <sz val="10"/>
      <color indexed="8"/>
      <name val="Arial"/>
      <family val="2"/>
      <charset val="204"/>
    </font>
    <font>
      <i/>
      <sz val="10"/>
      <name val="Arial Cyr"/>
      <charset val="204"/>
    </font>
    <font>
      <sz val="10"/>
      <color rgb="FFFF000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8FC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36" fillId="0" borderId="0">
      <alignment vertical="top"/>
    </xf>
  </cellStyleXfs>
  <cellXfs count="587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/>
    <xf numFmtId="49" fontId="3" fillId="0" borderId="0" xfId="0" applyNumberFormat="1" applyFont="1" applyBorder="1" applyAlignment="1">
      <alignment horizontal="centerContinuous"/>
    </xf>
    <xf numFmtId="49" fontId="3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6" fillId="0" borderId="0" xfId="0" applyFont="1" applyBorder="1" applyAlignment="1"/>
    <xf numFmtId="0" fontId="3" fillId="0" borderId="6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49" fontId="3" fillId="0" borderId="12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 wrapText="1"/>
    </xf>
    <xf numFmtId="49" fontId="7" fillId="0" borderId="18" xfId="0" applyNumberFormat="1" applyFont="1" applyBorder="1" applyAlignment="1">
      <alignment horizontal="center" wrapText="1"/>
    </xf>
    <xf numFmtId="4" fontId="3" fillId="0" borderId="12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4" fontId="3" fillId="0" borderId="0" xfId="0" applyNumberFormat="1" applyFont="1" applyBorder="1"/>
    <xf numFmtId="4" fontId="0" fillId="0" borderId="0" xfId="0" applyNumberFormat="1" applyBorder="1"/>
    <xf numFmtId="4" fontId="3" fillId="0" borderId="0" xfId="0" applyNumberFormat="1" applyFont="1" applyBorder="1" applyAlignment="1">
      <alignment horizontal="centerContinuous"/>
    </xf>
    <xf numFmtId="4" fontId="3" fillId="0" borderId="9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/>
    <xf numFmtId="0" fontId="1" fillId="0" borderId="0" xfId="0" applyFont="1" applyAlignment="1">
      <alignment horizontal="left"/>
    </xf>
    <xf numFmtId="49" fontId="4" fillId="0" borderId="16" xfId="0" applyNumberFormat="1" applyFont="1" applyBorder="1" applyAlignment="1">
      <alignment horizontal="center" wrapText="1"/>
    </xf>
    <xf numFmtId="49" fontId="3" fillId="0" borderId="18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7" fillId="2" borderId="18" xfId="0" applyNumberFormat="1" applyFont="1" applyFill="1" applyBorder="1" applyAlignment="1">
      <alignment horizontal="center" wrapText="1"/>
    </xf>
    <xf numFmtId="4" fontId="3" fillId="2" borderId="1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3" fillId="3" borderId="12" xfId="0" applyNumberFormat="1" applyFont="1" applyFill="1" applyBorder="1" applyAlignment="1">
      <alignment horizontal="center"/>
    </xf>
    <xf numFmtId="4" fontId="3" fillId="3" borderId="18" xfId="0" applyNumberFormat="1" applyFont="1" applyFill="1" applyBorder="1" applyAlignment="1">
      <alignment horizontal="center"/>
    </xf>
    <xf numFmtId="4" fontId="3" fillId="3" borderId="12" xfId="0" applyNumberFormat="1" applyFont="1" applyFill="1" applyBorder="1" applyAlignment="1">
      <alignment horizontal="center"/>
    </xf>
    <xf numFmtId="49" fontId="7" fillId="3" borderId="18" xfId="0" applyNumberFormat="1" applyFont="1" applyFill="1" applyBorder="1" applyAlignment="1">
      <alignment horizontal="center" wrapText="1"/>
    </xf>
    <xf numFmtId="49" fontId="4" fillId="0" borderId="18" xfId="0" applyNumberFormat="1" applyFont="1" applyBorder="1" applyAlignment="1">
      <alignment horizontal="left" wrapText="1"/>
    </xf>
    <xf numFmtId="4" fontId="3" fillId="0" borderId="16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49" fontId="1" fillId="0" borderId="0" xfId="0" applyNumberFormat="1" applyFont="1"/>
    <xf numFmtId="49" fontId="12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0" fillId="0" borderId="0" xfId="0" applyFill="1"/>
    <xf numFmtId="4" fontId="13" fillId="0" borderId="25" xfId="0" applyNumberFormat="1" applyFont="1" applyBorder="1" applyAlignment="1">
      <alignment horizontal="center"/>
    </xf>
    <xf numFmtId="4" fontId="14" fillId="0" borderId="25" xfId="0" applyNumberFormat="1" applyFont="1" applyBorder="1" applyAlignment="1">
      <alignment horizontal="center"/>
    </xf>
    <xf numFmtId="4" fontId="1" fillId="4" borderId="25" xfId="0" applyNumberFormat="1" applyFont="1" applyFill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4" fontId="13" fillId="0" borderId="25" xfId="0" applyNumberFormat="1" applyFont="1" applyFill="1" applyBorder="1" applyAlignment="1">
      <alignment horizontal="center"/>
    </xf>
    <xf numFmtId="4" fontId="13" fillId="4" borderId="25" xfId="0" applyNumberFormat="1" applyFont="1" applyFill="1" applyBorder="1" applyAlignment="1">
      <alignment horizontal="center"/>
    </xf>
    <xf numFmtId="4" fontId="13" fillId="2" borderId="25" xfId="0" applyNumberFormat="1" applyFont="1" applyFill="1" applyBorder="1" applyAlignment="1">
      <alignment horizontal="center"/>
    </xf>
    <xf numFmtId="4" fontId="15" fillId="4" borderId="25" xfId="0" applyNumberFormat="1" applyFont="1" applyFill="1" applyBorder="1" applyAlignment="1">
      <alignment horizontal="center"/>
    </xf>
    <xf numFmtId="4" fontId="15" fillId="2" borderId="25" xfId="0" applyNumberFormat="1" applyFont="1" applyFill="1" applyBorder="1" applyAlignment="1">
      <alignment horizontal="center"/>
    </xf>
    <xf numFmtId="4" fontId="2" fillId="4" borderId="25" xfId="0" applyNumberFormat="1" applyFont="1" applyFill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4" fontId="15" fillId="0" borderId="25" xfId="0" applyNumberFormat="1" applyFont="1" applyBorder="1" applyAlignment="1">
      <alignment horizontal="center"/>
    </xf>
    <xf numFmtId="4" fontId="13" fillId="2" borderId="26" xfId="0" applyNumberFormat="1" applyFont="1" applyFill="1" applyBorder="1" applyAlignment="1">
      <alignment horizontal="center"/>
    </xf>
    <xf numFmtId="0" fontId="8" fillId="0" borderId="14" xfId="0" applyFont="1" applyBorder="1" applyAlignment="1"/>
    <xf numFmtId="0" fontId="8" fillId="0" borderId="16" xfId="0" applyFont="1" applyBorder="1" applyAlignment="1"/>
    <xf numFmtId="0" fontId="3" fillId="0" borderId="10" xfId="0" applyFont="1" applyBorder="1" applyAlignment="1">
      <alignment horizontal="center" vertical="center"/>
    </xf>
    <xf numFmtId="4" fontId="2" fillId="2" borderId="25" xfId="0" applyNumberFormat="1" applyFont="1" applyFill="1" applyBorder="1" applyAlignment="1">
      <alignment horizontal="center"/>
    </xf>
    <xf numFmtId="4" fontId="1" fillId="5" borderId="25" xfId="0" applyNumberFormat="1" applyFont="1" applyFill="1" applyBorder="1" applyAlignment="1">
      <alignment horizontal="center"/>
    </xf>
    <xf numFmtId="4" fontId="13" fillId="2" borderId="27" xfId="0" applyNumberFormat="1" applyFont="1" applyFill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0" fillId="0" borderId="23" xfId="0" applyBorder="1"/>
    <xf numFmtId="4" fontId="2" fillId="0" borderId="25" xfId="0" applyNumberFormat="1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13" fillId="0" borderId="29" xfId="0" applyNumberFormat="1" applyFont="1" applyBorder="1" applyAlignment="1">
      <alignment horizontal="center"/>
    </xf>
    <xf numFmtId="4" fontId="14" fillId="0" borderId="29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 wrapText="1"/>
    </xf>
    <xf numFmtId="49" fontId="4" fillId="2" borderId="25" xfId="0" applyNumberFormat="1" applyFont="1" applyFill="1" applyBorder="1" applyAlignment="1">
      <alignment horizontal="center" wrapText="1"/>
    </xf>
    <xf numFmtId="49" fontId="4" fillId="2" borderId="25" xfId="0" applyNumberFormat="1" applyFont="1" applyFill="1" applyBorder="1" applyAlignment="1">
      <alignment horizontal="center"/>
    </xf>
    <xf numFmtId="49" fontId="7" fillId="0" borderId="25" xfId="0" applyNumberFormat="1" applyFont="1" applyBorder="1" applyAlignment="1">
      <alignment horizontal="center" wrapText="1"/>
    </xf>
    <xf numFmtId="49" fontId="4" fillId="0" borderId="25" xfId="0" applyNumberFormat="1" applyFont="1" applyBorder="1" applyAlignment="1">
      <alignment horizontal="center"/>
    </xf>
    <xf numFmtId="49" fontId="4" fillId="4" borderId="25" xfId="0" applyNumberFormat="1" applyFont="1" applyFill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11" fillId="0" borderId="25" xfId="0" applyNumberFormat="1" applyFont="1" applyBorder="1" applyAlignment="1">
      <alignment horizontal="center"/>
    </xf>
    <xf numFmtId="49" fontId="7" fillId="4" borderId="25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5" borderId="25" xfId="0" applyNumberFormat="1" applyFont="1" applyFill="1" applyBorder="1" applyAlignment="1">
      <alignment horizontal="center"/>
    </xf>
    <xf numFmtId="4" fontId="2" fillId="5" borderId="25" xfId="0" applyNumberFormat="1" applyFont="1" applyFill="1" applyBorder="1" applyAlignment="1">
      <alignment horizontal="center"/>
    </xf>
    <xf numFmtId="4" fontId="15" fillId="5" borderId="25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7" fillId="2" borderId="25" xfId="0" applyNumberFormat="1" applyFont="1" applyFill="1" applyBorder="1" applyAlignment="1">
      <alignment horizontal="center" wrapText="1"/>
    </xf>
    <xf numFmtId="49" fontId="7" fillId="5" borderId="25" xfId="0" applyNumberFormat="1" applyFont="1" applyFill="1" applyBorder="1" applyAlignment="1">
      <alignment horizontal="center" wrapText="1"/>
    </xf>
    <xf numFmtId="49" fontId="4" fillId="5" borderId="25" xfId="0" applyNumberFormat="1" applyFont="1" applyFill="1" applyBorder="1" applyAlignment="1">
      <alignment horizontal="center" wrapText="1"/>
    </xf>
    <xf numFmtId="49" fontId="7" fillId="2" borderId="25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 vertical="center"/>
    </xf>
    <xf numFmtId="4" fontId="13" fillId="5" borderId="25" xfId="0" applyNumberFormat="1" applyFont="1" applyFill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/>
    </xf>
    <xf numFmtId="4" fontId="13" fillId="2" borderId="29" xfId="0" applyNumberFormat="1" applyFont="1" applyFill="1" applyBorder="1" applyAlignment="1">
      <alignment horizontal="center"/>
    </xf>
    <xf numFmtId="4" fontId="13" fillId="4" borderId="29" xfId="0" applyNumberFormat="1" applyFont="1" applyFill="1" applyBorder="1" applyAlignment="1">
      <alignment horizontal="center"/>
    </xf>
    <xf numFmtId="4" fontId="13" fillId="5" borderId="29" xfId="0" applyNumberFormat="1" applyFont="1" applyFill="1" applyBorder="1" applyAlignment="1">
      <alignment horizontal="center"/>
    </xf>
    <xf numFmtId="4" fontId="13" fillId="0" borderId="29" xfId="0" applyNumberFormat="1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" fontId="17" fillId="6" borderId="29" xfId="0" applyNumberFormat="1" applyFont="1" applyFill="1" applyBorder="1" applyAlignment="1">
      <alignment horizontal="center"/>
    </xf>
    <xf numFmtId="4" fontId="13" fillId="6" borderId="29" xfId="0" applyNumberFormat="1" applyFont="1" applyFill="1" applyBorder="1" applyAlignment="1">
      <alignment horizontal="center"/>
    </xf>
    <xf numFmtId="4" fontId="13" fillId="6" borderId="25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4" fontId="13" fillId="2" borderId="31" xfId="0" applyNumberFormat="1" applyFont="1" applyFill="1" applyBorder="1" applyAlignment="1">
      <alignment horizontal="center"/>
    </xf>
    <xf numFmtId="4" fontId="13" fillId="0" borderId="31" xfId="0" applyNumberFormat="1" applyFont="1" applyBorder="1" applyAlignment="1">
      <alignment horizontal="center"/>
    </xf>
    <xf numFmtId="4" fontId="13" fillId="4" borderId="31" xfId="0" applyNumberFormat="1" applyFont="1" applyFill="1" applyBorder="1" applyAlignment="1">
      <alignment horizontal="center"/>
    </xf>
    <xf numFmtId="4" fontId="13" fillId="5" borderId="31" xfId="0" applyNumberFormat="1" applyFont="1" applyFill="1" applyBorder="1" applyAlignment="1">
      <alignment horizontal="center"/>
    </xf>
    <xf numFmtId="4" fontId="13" fillId="0" borderId="31" xfId="0" applyNumberFormat="1" applyFont="1" applyFill="1" applyBorder="1" applyAlignment="1">
      <alignment horizontal="center"/>
    </xf>
    <xf numFmtId="4" fontId="14" fillId="0" borderId="32" xfId="0" applyNumberFormat="1" applyFont="1" applyBorder="1" applyAlignment="1">
      <alignment horizontal="center"/>
    </xf>
    <xf numFmtId="4" fontId="1" fillId="0" borderId="33" xfId="0" applyNumberFormat="1" applyFont="1" applyBorder="1" applyAlignment="1">
      <alignment horizontal="center"/>
    </xf>
    <xf numFmtId="4" fontId="1" fillId="2" borderId="25" xfId="0" applyNumberFormat="1" applyFont="1" applyFill="1" applyBorder="1" applyAlignment="1">
      <alignment horizontal="center"/>
    </xf>
    <xf numFmtId="49" fontId="3" fillId="0" borderId="18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/>
    </xf>
    <xf numFmtId="4" fontId="1" fillId="0" borderId="25" xfId="0" applyNumberFormat="1" applyFont="1" applyFill="1" applyBorder="1" applyAlignment="1">
      <alignment horizontal="center"/>
    </xf>
    <xf numFmtId="49" fontId="7" fillId="5" borderId="25" xfId="0" applyNumberFormat="1" applyFont="1" applyFill="1" applyBorder="1" applyAlignment="1">
      <alignment horizontal="center"/>
    </xf>
    <xf numFmtId="4" fontId="15" fillId="0" borderId="25" xfId="0" applyNumberFormat="1" applyFont="1" applyFill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4" fontId="13" fillId="5" borderId="0" xfId="0" applyNumberFormat="1" applyFont="1" applyFill="1" applyBorder="1" applyAlignment="1">
      <alignment horizontal="center"/>
    </xf>
    <xf numFmtId="0" fontId="0" fillId="5" borderId="0" xfId="0" applyFill="1"/>
    <xf numFmtId="0" fontId="3" fillId="0" borderId="0" xfId="0" applyFont="1" applyAlignment="1">
      <alignment horizontal="right"/>
    </xf>
    <xf numFmtId="49" fontId="3" fillId="0" borderId="34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/>
    </xf>
    <xf numFmtId="49" fontId="3" fillId="0" borderId="0" xfId="0" applyNumberFormat="1" applyFont="1" applyFill="1"/>
    <xf numFmtId="49" fontId="0" fillId="0" borderId="0" xfId="0" applyNumberFormat="1" applyFill="1" applyBorder="1"/>
    <xf numFmtId="49" fontId="3" fillId="0" borderId="10" xfId="0" applyNumberFormat="1" applyFont="1" applyFill="1" applyBorder="1" applyAlignment="1">
      <alignment horizontal="center" vertical="top"/>
    </xf>
    <xf numFmtId="49" fontId="3" fillId="0" borderId="15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/>
    </xf>
    <xf numFmtId="49" fontId="3" fillId="5" borderId="0" xfId="0" applyNumberFormat="1" applyFont="1" applyFill="1"/>
    <xf numFmtId="49" fontId="0" fillId="5" borderId="0" xfId="0" applyNumberFormat="1" applyFill="1" applyBorder="1"/>
    <xf numFmtId="49" fontId="3" fillId="5" borderId="10" xfId="0" applyNumberFormat="1" applyFont="1" applyFill="1" applyBorder="1" applyAlignment="1">
      <alignment horizontal="center" vertical="center"/>
    </xf>
    <xf numFmtId="49" fontId="3" fillId="5" borderId="15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 vertical="center"/>
    </xf>
    <xf numFmtId="49" fontId="20" fillId="5" borderId="36" xfId="0" applyNumberFormat="1" applyFont="1" applyFill="1" applyBorder="1" applyAlignment="1">
      <alignment horizontal="left" vertical="top" wrapText="1"/>
    </xf>
    <xf numFmtId="49" fontId="20" fillId="3" borderId="36" xfId="0" applyNumberFormat="1" applyFont="1" applyFill="1" applyBorder="1" applyAlignment="1">
      <alignment horizontal="left" vertical="top" wrapText="1"/>
    </xf>
    <xf numFmtId="49" fontId="22" fillId="5" borderId="36" xfId="0" applyNumberFormat="1" applyFont="1" applyFill="1" applyBorder="1" applyAlignment="1">
      <alignment horizontal="left" vertical="top" wrapText="1"/>
    </xf>
    <xf numFmtId="0" fontId="20" fillId="5" borderId="34" xfId="0" applyFont="1" applyFill="1" applyBorder="1" applyAlignment="1">
      <alignment horizontal="left" vertical="top" wrapText="1"/>
    </xf>
    <xf numFmtId="49" fontId="20" fillId="4" borderId="36" xfId="0" applyNumberFormat="1" applyFont="1" applyFill="1" applyBorder="1" applyAlignment="1">
      <alignment horizontal="left" vertical="top" wrapText="1"/>
    </xf>
    <xf numFmtId="3" fontId="19" fillId="7" borderId="36" xfId="0" applyNumberFormat="1" applyFont="1" applyFill="1" applyBorder="1" applyAlignment="1">
      <alignment horizontal="left" vertical="top"/>
    </xf>
    <xf numFmtId="49" fontId="7" fillId="10" borderId="25" xfId="0" applyNumberFormat="1" applyFont="1" applyFill="1" applyBorder="1" applyAlignment="1">
      <alignment horizontal="center"/>
    </xf>
    <xf numFmtId="49" fontId="7" fillId="10" borderId="25" xfId="0" applyNumberFormat="1" applyFont="1" applyFill="1" applyBorder="1" applyAlignment="1">
      <alignment horizontal="center" wrapText="1"/>
    </xf>
    <xf numFmtId="4" fontId="13" fillId="10" borderId="25" xfId="0" applyNumberFormat="1" applyFont="1" applyFill="1" applyBorder="1" applyAlignment="1">
      <alignment horizontal="center"/>
    </xf>
    <xf numFmtId="4" fontId="2" fillId="10" borderId="25" xfId="0" applyNumberFormat="1" applyFont="1" applyFill="1" applyBorder="1" applyAlignment="1">
      <alignment horizontal="center"/>
    </xf>
    <xf numFmtId="4" fontId="15" fillId="10" borderId="25" xfId="0" applyNumberFormat="1" applyFont="1" applyFill="1" applyBorder="1" applyAlignment="1">
      <alignment horizontal="center"/>
    </xf>
    <xf numFmtId="4" fontId="1" fillId="10" borderId="25" xfId="0" applyNumberFormat="1" applyFont="1" applyFill="1" applyBorder="1" applyAlignment="1">
      <alignment horizontal="center"/>
    </xf>
    <xf numFmtId="4" fontId="13" fillId="10" borderId="31" xfId="0" applyNumberFormat="1" applyFont="1" applyFill="1" applyBorder="1" applyAlignment="1">
      <alignment horizontal="center"/>
    </xf>
    <xf numFmtId="49" fontId="4" fillId="10" borderId="25" xfId="0" applyNumberFormat="1" applyFont="1" applyFill="1" applyBorder="1" applyAlignment="1">
      <alignment horizontal="center"/>
    </xf>
    <xf numFmtId="49" fontId="4" fillId="10" borderId="25" xfId="0" applyNumberFormat="1" applyFont="1" applyFill="1" applyBorder="1" applyAlignment="1">
      <alignment horizontal="center" wrapText="1"/>
    </xf>
    <xf numFmtId="4" fontId="1" fillId="8" borderId="28" xfId="0" applyNumberFormat="1" applyFont="1" applyFill="1" applyBorder="1" applyAlignment="1">
      <alignment horizontal="center"/>
    </xf>
    <xf numFmtId="49" fontId="4" fillId="3" borderId="38" xfId="0" applyNumberFormat="1" applyFont="1" applyFill="1" applyBorder="1" applyAlignment="1">
      <alignment horizontal="center" wrapText="1"/>
    </xf>
    <xf numFmtId="49" fontId="7" fillId="3" borderId="38" xfId="0" applyNumberFormat="1" applyFont="1" applyFill="1" applyBorder="1" applyAlignment="1">
      <alignment horizontal="center" wrapText="1"/>
    </xf>
    <xf numFmtId="4" fontId="13" fillId="3" borderId="38" xfId="0" applyNumberFormat="1" applyFont="1" applyFill="1" applyBorder="1" applyAlignment="1">
      <alignment horizontal="center"/>
    </xf>
    <xf numFmtId="4" fontId="1" fillId="3" borderId="38" xfId="0" applyNumberFormat="1" applyFont="1" applyFill="1" applyBorder="1" applyAlignment="1">
      <alignment horizontal="center"/>
    </xf>
    <xf numFmtId="4" fontId="2" fillId="3" borderId="38" xfId="0" applyNumberFormat="1" applyFont="1" applyFill="1" applyBorder="1" applyAlignment="1">
      <alignment horizontal="center"/>
    </xf>
    <xf numFmtId="4" fontId="13" fillId="3" borderId="39" xfId="0" applyNumberFormat="1" applyFont="1" applyFill="1" applyBorder="1" applyAlignment="1">
      <alignment horizontal="center"/>
    </xf>
    <xf numFmtId="49" fontId="4" fillId="3" borderId="25" xfId="0" applyNumberFormat="1" applyFont="1" applyFill="1" applyBorder="1" applyAlignment="1">
      <alignment horizontal="center"/>
    </xf>
    <xf numFmtId="49" fontId="4" fillId="3" borderId="25" xfId="0" applyNumberFormat="1" applyFont="1" applyFill="1" applyBorder="1" applyAlignment="1">
      <alignment horizontal="center" wrapText="1"/>
    </xf>
    <xf numFmtId="4" fontId="2" fillId="3" borderId="25" xfId="0" applyNumberFormat="1" applyFont="1" applyFill="1" applyBorder="1" applyAlignment="1">
      <alignment horizontal="center"/>
    </xf>
    <xf numFmtId="4" fontId="1" fillId="3" borderId="25" xfId="0" applyNumberFormat="1" applyFont="1" applyFill="1" applyBorder="1" applyAlignment="1">
      <alignment horizontal="center"/>
    </xf>
    <xf numFmtId="4" fontId="13" fillId="3" borderId="31" xfId="0" applyNumberFormat="1" applyFont="1" applyFill="1" applyBorder="1" applyAlignment="1">
      <alignment horizontal="center"/>
    </xf>
    <xf numFmtId="49" fontId="7" fillId="3" borderId="25" xfId="0" applyNumberFormat="1" applyFont="1" applyFill="1" applyBorder="1" applyAlignment="1">
      <alignment horizontal="center"/>
    </xf>
    <xf numFmtId="4" fontId="13" fillId="3" borderId="25" xfId="0" applyNumberFormat="1" applyFont="1" applyFill="1" applyBorder="1" applyAlignment="1">
      <alignment horizontal="center"/>
    </xf>
    <xf numFmtId="4" fontId="15" fillId="3" borderId="25" xfId="0" applyNumberFormat="1" applyFont="1" applyFill="1" applyBorder="1" applyAlignment="1">
      <alignment horizontal="center"/>
    </xf>
    <xf numFmtId="49" fontId="7" fillId="3" borderId="25" xfId="0" applyNumberFormat="1" applyFont="1" applyFill="1" applyBorder="1" applyAlignment="1">
      <alignment horizontal="center" wrapText="1"/>
    </xf>
    <xf numFmtId="4" fontId="14" fillId="10" borderId="25" xfId="0" applyNumberFormat="1" applyFont="1" applyFill="1" applyBorder="1" applyAlignment="1">
      <alignment horizontal="center"/>
    </xf>
    <xf numFmtId="49" fontId="28" fillId="8" borderId="40" xfId="0" applyNumberFormat="1" applyFont="1" applyFill="1" applyBorder="1" applyAlignment="1">
      <alignment horizontal="center" wrapText="1"/>
    </xf>
    <xf numFmtId="4" fontId="27" fillId="8" borderId="40" xfId="0" applyNumberFormat="1" applyFont="1" applyFill="1" applyBorder="1" applyAlignment="1">
      <alignment horizontal="center"/>
    </xf>
    <xf numFmtId="4" fontId="27" fillId="8" borderId="38" xfId="0" applyNumberFormat="1" applyFont="1" applyFill="1" applyBorder="1" applyAlignment="1">
      <alignment horizontal="center"/>
    </xf>
    <xf numFmtId="4" fontId="27" fillId="8" borderId="28" xfId="0" applyNumberFormat="1" applyFont="1" applyFill="1" applyBorder="1" applyAlignment="1">
      <alignment horizontal="center"/>
    </xf>
    <xf numFmtId="2" fontId="25" fillId="8" borderId="37" xfId="0" applyNumberFormat="1" applyFont="1" applyFill="1" applyBorder="1" applyAlignment="1">
      <alignment horizontal="right" vertical="top"/>
    </xf>
    <xf numFmtId="2" fontId="25" fillId="9" borderId="36" xfId="0" applyNumberFormat="1" applyFont="1" applyFill="1" applyBorder="1" applyAlignment="1">
      <alignment horizontal="right" vertical="top"/>
    </xf>
    <xf numFmtId="2" fontId="25" fillId="4" borderId="36" xfId="0" applyNumberFormat="1" applyFont="1" applyFill="1" applyBorder="1" applyAlignment="1">
      <alignment horizontal="right" vertical="top"/>
    </xf>
    <xf numFmtId="2" fontId="26" fillId="3" borderId="36" xfId="0" applyNumberFormat="1" applyFont="1" applyFill="1" applyBorder="1" applyAlignment="1">
      <alignment horizontal="right" vertical="top"/>
    </xf>
    <xf numFmtId="2" fontId="26" fillId="0" borderId="36" xfId="0" applyNumberFormat="1" applyFont="1" applyFill="1" applyBorder="1" applyAlignment="1">
      <alignment horizontal="right" vertical="top" wrapText="1"/>
    </xf>
    <xf numFmtId="2" fontId="26" fillId="3" borderId="36" xfId="0" applyNumberFormat="1" applyFont="1" applyFill="1" applyBorder="1" applyAlignment="1">
      <alignment horizontal="right" vertical="top" wrapText="1"/>
    </xf>
    <xf numFmtId="2" fontId="26" fillId="4" borderId="36" xfId="0" applyNumberFormat="1" applyFont="1" applyFill="1" applyBorder="1" applyAlignment="1">
      <alignment horizontal="right" vertical="top" wrapText="1"/>
    </xf>
    <xf numFmtId="2" fontId="26" fillId="5" borderId="36" xfId="0" applyNumberFormat="1" applyFont="1" applyFill="1" applyBorder="1" applyAlignment="1">
      <alignment horizontal="right" vertical="top" wrapText="1"/>
    </xf>
    <xf numFmtId="2" fontId="25" fillId="7" borderId="36" xfId="0" applyNumberFormat="1" applyFont="1" applyFill="1" applyBorder="1" applyAlignment="1">
      <alignment horizontal="right" vertical="top" wrapText="1"/>
    </xf>
    <xf numFmtId="2" fontId="25" fillId="7" borderId="36" xfId="0" applyNumberFormat="1" applyFont="1" applyFill="1" applyBorder="1" applyAlignment="1">
      <alignment horizontal="right" vertical="top"/>
    </xf>
    <xf numFmtId="2" fontId="26" fillId="5" borderId="36" xfId="0" applyNumberFormat="1" applyFont="1" applyFill="1" applyBorder="1" applyAlignment="1">
      <alignment horizontal="right" vertical="top"/>
    </xf>
    <xf numFmtId="2" fontId="26" fillId="4" borderId="36" xfId="0" applyNumberFormat="1" applyFont="1" applyFill="1" applyBorder="1" applyAlignment="1">
      <alignment horizontal="right" vertical="top"/>
    </xf>
    <xf numFmtId="2" fontId="25" fillId="11" borderId="36" xfId="0" applyNumberFormat="1" applyFont="1" applyFill="1" applyBorder="1" applyAlignment="1">
      <alignment horizontal="right" vertical="top" wrapText="1"/>
    </xf>
    <xf numFmtId="2" fontId="25" fillId="4" borderId="36" xfId="0" applyNumberFormat="1" applyFont="1" applyFill="1" applyBorder="1" applyAlignment="1">
      <alignment horizontal="right" vertical="top" wrapText="1"/>
    </xf>
    <xf numFmtId="2" fontId="26" fillId="5" borderId="41" xfId="0" applyNumberFormat="1" applyFont="1" applyFill="1" applyBorder="1" applyAlignment="1">
      <alignment horizontal="right" vertical="top" wrapText="1"/>
    </xf>
    <xf numFmtId="2" fontId="25" fillId="8" borderId="18" xfId="0" applyNumberFormat="1" applyFont="1" applyFill="1" applyBorder="1" applyAlignment="1">
      <alignment horizontal="right" vertical="top" wrapText="1"/>
    </xf>
    <xf numFmtId="2" fontId="25" fillId="8" borderId="11" xfId="0" applyNumberFormat="1" applyFont="1" applyFill="1" applyBorder="1" applyAlignment="1">
      <alignment horizontal="right" vertical="top" wrapText="1"/>
    </xf>
    <xf numFmtId="2" fontId="25" fillId="9" borderId="1" xfId="0" applyNumberFormat="1" applyFont="1" applyFill="1" applyBorder="1" applyAlignment="1">
      <alignment horizontal="right" vertical="top"/>
    </xf>
    <xf numFmtId="2" fontId="25" fillId="4" borderId="1" xfId="0" applyNumberFormat="1" applyFont="1" applyFill="1" applyBorder="1" applyAlignment="1">
      <alignment horizontal="right" vertical="top"/>
    </xf>
    <xf numFmtId="2" fontId="25" fillId="3" borderId="1" xfId="0" applyNumberFormat="1" applyFont="1" applyFill="1" applyBorder="1" applyAlignment="1">
      <alignment horizontal="right" vertical="top"/>
    </xf>
    <xf numFmtId="2" fontId="25" fillId="0" borderId="1" xfId="0" applyNumberFormat="1" applyFont="1" applyFill="1" applyBorder="1" applyAlignment="1">
      <alignment horizontal="right" vertical="top"/>
    </xf>
    <xf numFmtId="2" fontId="25" fillId="5" borderId="1" xfId="0" applyNumberFormat="1" applyFont="1" applyFill="1" applyBorder="1" applyAlignment="1">
      <alignment horizontal="right" vertical="top"/>
    </xf>
    <xf numFmtId="2" fontId="25" fillId="8" borderId="16" xfId="0" applyNumberFormat="1" applyFont="1" applyFill="1" applyBorder="1" applyAlignment="1">
      <alignment horizontal="right" vertical="top"/>
    </xf>
    <xf numFmtId="2" fontId="25" fillId="11" borderId="1" xfId="0" applyNumberFormat="1" applyFont="1" applyFill="1" applyBorder="1" applyAlignment="1">
      <alignment horizontal="right" vertical="top"/>
    </xf>
    <xf numFmtId="4" fontId="26" fillId="7" borderId="34" xfId="0" applyNumberFormat="1" applyFont="1" applyFill="1" applyBorder="1" applyAlignment="1">
      <alignment horizontal="right"/>
    </xf>
    <xf numFmtId="4" fontId="26" fillId="3" borderId="34" xfId="0" applyNumberFormat="1" applyFont="1" applyFill="1" applyBorder="1" applyAlignment="1">
      <alignment horizontal="right"/>
    </xf>
    <xf numFmtId="4" fontId="26" fillId="0" borderId="34" xfId="0" applyNumberFormat="1" applyFont="1" applyBorder="1" applyAlignment="1">
      <alignment horizontal="right"/>
    </xf>
    <xf numFmtId="4" fontId="25" fillId="7" borderId="34" xfId="0" applyNumberFormat="1" applyFont="1" applyFill="1" applyBorder="1" applyAlignment="1">
      <alignment horizontal="right"/>
    </xf>
    <xf numFmtId="4" fontId="26" fillId="4" borderId="34" xfId="0" applyNumberFormat="1" applyFont="1" applyFill="1" applyBorder="1" applyAlignment="1">
      <alignment horizontal="right"/>
    </xf>
    <xf numFmtId="4" fontId="26" fillId="0" borderId="34" xfId="0" applyNumberFormat="1" applyFont="1" applyFill="1" applyBorder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19" fillId="7" borderId="36" xfId="0" applyFont="1" applyFill="1" applyBorder="1" applyAlignment="1">
      <alignment vertical="top" wrapText="1"/>
    </xf>
    <xf numFmtId="49" fontId="20" fillId="5" borderId="34" xfId="0" applyNumberFormat="1" applyFont="1" applyFill="1" applyBorder="1" applyAlignment="1">
      <alignment horizontal="left" vertical="top" wrapText="1"/>
    </xf>
    <xf numFmtId="0" fontId="20" fillId="5" borderId="36" xfId="0" applyFont="1" applyFill="1" applyBorder="1" applyAlignment="1">
      <alignment horizontal="left" vertical="top" wrapText="1"/>
    </xf>
    <xf numFmtId="2" fontId="25" fillId="5" borderId="14" xfId="0" applyNumberFormat="1" applyFont="1" applyFill="1" applyBorder="1" applyAlignment="1">
      <alignment horizontal="right" vertical="top"/>
    </xf>
    <xf numFmtId="2" fontId="25" fillId="8" borderId="43" xfId="0" applyNumberFormat="1" applyFont="1" applyFill="1" applyBorder="1" applyAlignment="1">
      <alignment horizontal="right" vertical="top"/>
    </xf>
    <xf numFmtId="49" fontId="21" fillId="0" borderId="11" xfId="0" applyNumberFormat="1" applyFont="1" applyBorder="1" applyAlignment="1">
      <alignment horizontal="center" vertical="center"/>
    </xf>
    <xf numFmtId="4" fontId="26" fillId="0" borderId="44" xfId="0" applyNumberFormat="1" applyFont="1" applyBorder="1" applyAlignment="1">
      <alignment horizontal="center"/>
    </xf>
    <xf numFmtId="0" fontId="26" fillId="0" borderId="44" xfId="0" applyFont="1" applyBorder="1"/>
    <xf numFmtId="0" fontId="26" fillId="5" borderId="44" xfId="0" applyFont="1" applyFill="1" applyBorder="1"/>
    <xf numFmtId="0" fontId="26" fillId="5" borderId="42" xfId="0" applyFont="1" applyFill="1" applyBorder="1"/>
    <xf numFmtId="0" fontId="26" fillId="0" borderId="45" xfId="0" applyFont="1" applyBorder="1"/>
    <xf numFmtId="0" fontId="26" fillId="0" borderId="46" xfId="0" applyFont="1" applyBorder="1"/>
    <xf numFmtId="49" fontId="21" fillId="0" borderId="13" xfId="0" applyNumberFormat="1" applyFont="1" applyBorder="1" applyAlignment="1">
      <alignment horizontal="center" vertical="center"/>
    </xf>
    <xf numFmtId="2" fontId="25" fillId="8" borderId="47" xfId="0" applyNumberFormat="1" applyFont="1" applyFill="1" applyBorder="1" applyAlignment="1">
      <alignment horizontal="right" vertical="top"/>
    </xf>
    <xf numFmtId="2" fontId="25" fillId="9" borderId="47" xfId="0" applyNumberFormat="1" applyFont="1" applyFill="1" applyBorder="1" applyAlignment="1">
      <alignment horizontal="right" vertical="top"/>
    </xf>
    <xf numFmtId="2" fontId="25" fillId="4" borderId="47" xfId="0" applyNumberFormat="1" applyFont="1" applyFill="1" applyBorder="1" applyAlignment="1">
      <alignment horizontal="right" vertical="top"/>
    </xf>
    <xf numFmtId="2" fontId="25" fillId="3" borderId="47" xfId="0" applyNumberFormat="1" applyFont="1" applyFill="1" applyBorder="1" applyAlignment="1">
      <alignment horizontal="right" vertical="top"/>
    </xf>
    <xf numFmtId="2" fontId="25" fillId="0" borderId="47" xfId="0" applyNumberFormat="1" applyFont="1" applyFill="1" applyBorder="1" applyAlignment="1">
      <alignment horizontal="right" vertical="top"/>
    </xf>
    <xf numFmtId="2" fontId="25" fillId="5" borderId="47" xfId="0" applyNumberFormat="1" applyFont="1" applyFill="1" applyBorder="1" applyAlignment="1">
      <alignment horizontal="right" vertical="top"/>
    </xf>
    <xf numFmtId="2" fontId="25" fillId="7" borderId="31" xfId="0" applyNumberFormat="1" applyFont="1" applyFill="1" applyBorder="1" applyAlignment="1">
      <alignment horizontal="right"/>
    </xf>
    <xf numFmtId="2" fontId="25" fillId="4" borderId="31" xfId="0" applyNumberFormat="1" applyFont="1" applyFill="1" applyBorder="1" applyAlignment="1">
      <alignment horizontal="right"/>
    </xf>
    <xf numFmtId="2" fontId="25" fillId="0" borderId="31" xfId="0" applyNumberFormat="1" applyFont="1" applyFill="1" applyBorder="1" applyAlignment="1">
      <alignment horizontal="right"/>
    </xf>
    <xf numFmtId="2" fontId="25" fillId="11" borderId="47" xfId="0" applyNumberFormat="1" applyFont="1" applyFill="1" applyBorder="1" applyAlignment="1">
      <alignment horizontal="right" vertical="top"/>
    </xf>
    <xf numFmtId="4" fontId="25" fillId="7" borderId="31" xfId="0" applyNumberFormat="1" applyFont="1" applyFill="1" applyBorder="1" applyAlignment="1">
      <alignment horizontal="center"/>
    </xf>
    <xf numFmtId="4" fontId="25" fillId="3" borderId="31" xfId="0" applyNumberFormat="1" applyFont="1" applyFill="1" applyBorder="1" applyAlignment="1">
      <alignment horizontal="center"/>
    </xf>
    <xf numFmtId="4" fontId="25" fillId="0" borderId="31" xfId="0" applyNumberFormat="1" applyFont="1" applyFill="1" applyBorder="1" applyAlignment="1">
      <alignment horizontal="center"/>
    </xf>
    <xf numFmtId="2" fontId="25" fillId="5" borderId="23" xfId="0" applyNumberFormat="1" applyFont="1" applyFill="1" applyBorder="1" applyAlignment="1">
      <alignment horizontal="right" vertical="top"/>
    </xf>
    <xf numFmtId="2" fontId="25" fillId="8" borderId="39" xfId="0" applyNumberFormat="1" applyFont="1" applyFill="1" applyBorder="1" applyAlignment="1">
      <alignment horizontal="right" vertical="top"/>
    </xf>
    <xf numFmtId="2" fontId="25" fillId="8" borderId="21" xfId="0" applyNumberFormat="1" applyFont="1" applyFill="1" applyBorder="1" applyAlignment="1">
      <alignment horizontal="right" vertical="top"/>
    </xf>
    <xf numFmtId="2" fontId="25" fillId="7" borderId="34" xfId="0" applyNumberFormat="1" applyFont="1" applyFill="1" applyBorder="1" applyAlignment="1">
      <alignment horizontal="right"/>
    </xf>
    <xf numFmtId="2" fontId="25" fillId="4" borderId="34" xfId="0" applyNumberFormat="1" applyFont="1" applyFill="1" applyBorder="1" applyAlignment="1">
      <alignment horizontal="right"/>
    </xf>
    <xf numFmtId="2" fontId="25" fillId="0" borderId="34" xfId="0" applyNumberFormat="1" applyFont="1" applyFill="1" applyBorder="1" applyAlignment="1">
      <alignment horizontal="right"/>
    </xf>
    <xf numFmtId="4" fontId="25" fillId="7" borderId="34" xfId="0" applyNumberFormat="1" applyFont="1" applyFill="1" applyBorder="1" applyAlignment="1">
      <alignment horizontal="center"/>
    </xf>
    <xf numFmtId="4" fontId="25" fillId="3" borderId="34" xfId="0" applyNumberFormat="1" applyFont="1" applyFill="1" applyBorder="1" applyAlignment="1">
      <alignment horizontal="center"/>
    </xf>
    <xf numFmtId="4" fontId="25" fillId="0" borderId="34" xfId="0" applyNumberFormat="1" applyFont="1" applyBorder="1" applyAlignment="1">
      <alignment horizontal="center"/>
    </xf>
    <xf numFmtId="49" fontId="3" fillId="5" borderId="10" xfId="0" applyNumberFormat="1" applyFont="1" applyFill="1" applyBorder="1" applyAlignment="1">
      <alignment horizontal="center" vertical="top"/>
    </xf>
    <xf numFmtId="49" fontId="3" fillId="5" borderId="15" xfId="0" applyNumberFormat="1" applyFont="1" applyFill="1" applyBorder="1" applyAlignment="1">
      <alignment horizontal="center"/>
    </xf>
    <xf numFmtId="4" fontId="27" fillId="5" borderId="38" xfId="0" applyNumberFormat="1" applyFont="1" applyFill="1" applyBorder="1" applyAlignment="1">
      <alignment horizontal="center"/>
    </xf>
    <xf numFmtId="4" fontId="1" fillId="5" borderId="40" xfId="0" applyNumberFormat="1" applyFont="1" applyFill="1" applyBorder="1" applyAlignment="1">
      <alignment horizontal="center"/>
    </xf>
    <xf numFmtId="4" fontId="27" fillId="0" borderId="40" xfId="0" applyNumberFormat="1" applyFont="1" applyFill="1" applyBorder="1" applyAlignment="1">
      <alignment horizontal="center"/>
    </xf>
    <xf numFmtId="4" fontId="13" fillId="0" borderId="38" xfId="0" applyNumberFormat="1" applyFont="1" applyFill="1" applyBorder="1" applyAlignment="1">
      <alignment horizontal="center"/>
    </xf>
    <xf numFmtId="4" fontId="1" fillId="0" borderId="38" xfId="0" applyNumberFormat="1" applyFont="1" applyFill="1" applyBorder="1" applyAlignment="1">
      <alignment horizontal="center"/>
    </xf>
    <xf numFmtId="4" fontId="2" fillId="0" borderId="30" xfId="0" applyNumberFormat="1" applyFont="1" applyFill="1" applyBorder="1" applyAlignment="1">
      <alignment horizontal="center"/>
    </xf>
    <xf numFmtId="4" fontId="13" fillId="0" borderId="30" xfId="0" applyNumberFormat="1" applyFont="1" applyFill="1" applyBorder="1" applyAlignment="1">
      <alignment horizontal="center"/>
    </xf>
    <xf numFmtId="4" fontId="14" fillId="0" borderId="30" xfId="0" applyNumberFormat="1" applyFont="1" applyFill="1" applyBorder="1" applyAlignment="1">
      <alignment horizontal="center"/>
    </xf>
    <xf numFmtId="4" fontId="15" fillId="0" borderId="30" xfId="0" applyNumberFormat="1" applyFont="1" applyFill="1" applyBorder="1" applyAlignment="1">
      <alignment horizontal="center"/>
    </xf>
    <xf numFmtId="0" fontId="0" fillId="0" borderId="25" xfId="0" applyFill="1" applyBorder="1"/>
    <xf numFmtId="4" fontId="2" fillId="0" borderId="3" xfId="0" applyNumberFormat="1" applyFont="1" applyFill="1" applyBorder="1" applyAlignment="1">
      <alignment horizontal="center"/>
    </xf>
    <xf numFmtId="4" fontId="26" fillId="4" borderId="1" xfId="0" applyNumberFormat="1" applyFont="1" applyFill="1" applyBorder="1" applyAlignment="1">
      <alignment horizontal="right"/>
    </xf>
    <xf numFmtId="4" fontId="26" fillId="5" borderId="34" xfId="0" applyNumberFormat="1" applyFont="1" applyFill="1" applyBorder="1" applyAlignment="1">
      <alignment horizontal="right"/>
    </xf>
    <xf numFmtId="4" fontId="26" fillId="4" borderId="44" xfId="0" applyNumberFormat="1" applyFont="1" applyFill="1" applyBorder="1" applyAlignment="1">
      <alignment horizontal="center"/>
    </xf>
    <xf numFmtId="4" fontId="25" fillId="4" borderId="47" xfId="0" applyNumberFormat="1" applyFont="1" applyFill="1" applyBorder="1" applyAlignment="1">
      <alignment horizontal="right"/>
    </xf>
    <xf numFmtId="4" fontId="25" fillId="0" borderId="34" xfId="0" applyNumberFormat="1" applyFont="1" applyBorder="1" applyAlignment="1">
      <alignment horizontal="right"/>
    </xf>
    <xf numFmtId="4" fontId="26" fillId="0" borderId="29" xfId="0" applyNumberFormat="1" applyFont="1" applyBorder="1" applyAlignment="1">
      <alignment horizontal="center"/>
    </xf>
    <xf numFmtId="0" fontId="26" fillId="0" borderId="29" xfId="0" applyFont="1" applyBorder="1"/>
    <xf numFmtId="0" fontId="26" fillId="5" borderId="29" xfId="0" applyFont="1" applyFill="1" applyBorder="1"/>
    <xf numFmtId="4" fontId="26" fillId="4" borderId="29" xfId="0" applyNumberFormat="1" applyFont="1" applyFill="1" applyBorder="1" applyAlignment="1">
      <alignment horizontal="center"/>
    </xf>
    <xf numFmtId="0" fontId="26" fillId="5" borderId="48" xfId="0" applyFont="1" applyFill="1" applyBorder="1"/>
    <xf numFmtId="0" fontId="26" fillId="0" borderId="49" xfId="0" applyFont="1" applyBorder="1"/>
    <xf numFmtId="0" fontId="26" fillId="0" borderId="50" xfId="0" applyFont="1" applyBorder="1"/>
    <xf numFmtId="2" fontId="25" fillId="7" borderId="34" xfId="0" applyNumberFormat="1" applyFont="1" applyFill="1" applyBorder="1" applyAlignment="1">
      <alignment horizontal="right" vertical="top" wrapText="1"/>
    </xf>
    <xf numFmtId="2" fontId="25" fillId="4" borderId="34" xfId="0" applyNumberFormat="1" applyFont="1" applyFill="1" applyBorder="1" applyAlignment="1">
      <alignment horizontal="right" vertical="top" wrapText="1"/>
    </xf>
    <xf numFmtId="2" fontId="26" fillId="5" borderId="51" xfId="0" applyNumberFormat="1" applyFont="1" applyFill="1" applyBorder="1" applyAlignment="1">
      <alignment horizontal="right" vertical="top" wrapText="1"/>
    </xf>
    <xf numFmtId="49" fontId="4" fillId="0" borderId="25" xfId="0" applyNumberFormat="1" applyFont="1" applyFill="1" applyBorder="1" applyAlignment="1">
      <alignment horizontal="center" wrapText="1"/>
    </xf>
    <xf numFmtId="4" fontId="3" fillId="0" borderId="23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3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29" fillId="0" borderId="11" xfId="0" applyFont="1" applyFill="1" applyBorder="1" applyAlignment="1">
      <alignment horizontal="left" vertical="top" wrapText="1"/>
    </xf>
    <xf numFmtId="4" fontId="3" fillId="0" borderId="13" xfId="0" applyNumberFormat="1" applyFont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3" borderId="13" xfId="0" applyNumberFormat="1" applyFont="1" applyFill="1" applyBorder="1" applyAlignment="1">
      <alignment horizontal="center"/>
    </xf>
    <xf numFmtId="4" fontId="3" fillId="2" borderId="12" xfId="0" applyNumberFormat="1" applyFont="1" applyFill="1" applyBorder="1" applyAlignment="1">
      <alignment horizontal="center"/>
    </xf>
    <xf numFmtId="4" fontId="3" fillId="0" borderId="21" xfId="0" applyNumberFormat="1" applyFont="1" applyBorder="1" applyAlignment="1">
      <alignment horizontal="center"/>
    </xf>
    <xf numFmtId="0" fontId="30" fillId="0" borderId="52" xfId="0" applyFont="1" applyFill="1" applyBorder="1" applyAlignment="1">
      <alignment horizontal="left" vertical="top" wrapText="1"/>
    </xf>
    <xf numFmtId="0" fontId="30" fillId="0" borderId="11" xfId="0" applyFont="1" applyFill="1" applyBorder="1" applyAlignment="1">
      <alignment horizontal="left" vertical="top" wrapText="1"/>
    </xf>
    <xf numFmtId="4" fontId="2" fillId="3" borderId="30" xfId="0" applyNumberFormat="1" applyFont="1" applyFill="1" applyBorder="1" applyAlignment="1">
      <alignment horizontal="center"/>
    </xf>
    <xf numFmtId="4" fontId="1" fillId="3" borderId="30" xfId="0" applyNumberFormat="1" applyFont="1" applyFill="1" applyBorder="1" applyAlignment="1">
      <alignment horizontal="center"/>
    </xf>
    <xf numFmtId="4" fontId="0" fillId="0" borderId="0" xfId="0" applyNumberFormat="1"/>
    <xf numFmtId="2" fontId="26" fillId="0" borderId="51" xfId="0" applyNumberFormat="1" applyFont="1" applyFill="1" applyBorder="1" applyAlignment="1">
      <alignment horizontal="right" vertical="top" wrapText="1"/>
    </xf>
    <xf numFmtId="2" fontId="25" fillId="8" borderId="54" xfId="0" applyNumberFormat="1" applyFont="1" applyFill="1" applyBorder="1" applyAlignment="1">
      <alignment horizontal="right" vertical="top"/>
    </xf>
    <xf numFmtId="2" fontId="25" fillId="9" borderId="36" xfId="0" applyNumberFormat="1" applyFont="1" applyFill="1" applyBorder="1" applyAlignment="1">
      <alignment horizontal="right" vertical="top" wrapText="1"/>
    </xf>
    <xf numFmtId="4" fontId="25" fillId="7" borderId="36" xfId="0" applyNumberFormat="1" applyFont="1" applyFill="1" applyBorder="1" applyAlignment="1">
      <alignment horizontal="right"/>
    </xf>
    <xf numFmtId="4" fontId="26" fillId="4" borderId="36" xfId="0" applyNumberFormat="1" applyFont="1" applyFill="1" applyBorder="1" applyAlignment="1">
      <alignment horizontal="right"/>
    </xf>
    <xf numFmtId="4" fontId="26" fillId="0" borderId="36" xfId="0" applyNumberFormat="1" applyFont="1" applyFill="1" applyBorder="1" applyAlignment="1">
      <alignment horizontal="right"/>
    </xf>
    <xf numFmtId="4" fontId="26" fillId="7" borderId="36" xfId="0" applyNumberFormat="1" applyFont="1" applyFill="1" applyBorder="1" applyAlignment="1">
      <alignment horizontal="right"/>
    </xf>
    <xf numFmtId="4" fontId="26" fillId="3" borderId="36" xfId="0" applyNumberFormat="1" applyFont="1" applyFill="1" applyBorder="1" applyAlignment="1">
      <alignment horizontal="right"/>
    </xf>
    <xf numFmtId="4" fontId="26" fillId="0" borderId="36" xfId="0" applyNumberFormat="1" applyFont="1" applyBorder="1" applyAlignment="1">
      <alignment horizontal="right"/>
    </xf>
    <xf numFmtId="0" fontId="26" fillId="0" borderId="55" xfId="0" applyFont="1" applyBorder="1"/>
    <xf numFmtId="0" fontId="26" fillId="0" borderId="56" xfId="0" applyFont="1" applyBorder="1"/>
    <xf numFmtId="4" fontId="25" fillId="0" borderId="57" xfId="0" applyNumberFormat="1" applyFont="1" applyBorder="1" applyAlignment="1">
      <alignment horizontal="center"/>
    </xf>
    <xf numFmtId="4" fontId="25" fillId="0" borderId="58" xfId="0" applyNumberFormat="1" applyFont="1" applyBorder="1" applyAlignment="1">
      <alignment horizontal="center"/>
    </xf>
    <xf numFmtId="4" fontId="26" fillId="0" borderId="53" xfId="0" applyNumberFormat="1" applyFont="1" applyBorder="1" applyAlignment="1">
      <alignment horizontal="center"/>
    </xf>
    <xf numFmtId="4" fontId="26" fillId="0" borderId="26" xfId="0" applyNumberFormat="1" applyFont="1" applyBorder="1" applyAlignment="1">
      <alignment horizontal="center"/>
    </xf>
    <xf numFmtId="4" fontId="26" fillId="0" borderId="53" xfId="0" applyNumberFormat="1" applyFont="1" applyFill="1" applyBorder="1" applyAlignment="1">
      <alignment horizontal="center"/>
    </xf>
    <xf numFmtId="4" fontId="26" fillId="0" borderId="26" xfId="0" applyNumberFormat="1" applyFont="1" applyFill="1" applyBorder="1" applyAlignment="1">
      <alignment horizontal="center"/>
    </xf>
    <xf numFmtId="4" fontId="26" fillId="5" borderId="53" xfId="0" applyNumberFormat="1" applyFont="1" applyFill="1" applyBorder="1" applyAlignment="1">
      <alignment horizontal="center"/>
    </xf>
    <xf numFmtId="4" fontId="26" fillId="5" borderId="26" xfId="0" applyNumberFormat="1" applyFont="1" applyFill="1" applyBorder="1" applyAlignment="1">
      <alignment horizontal="center"/>
    </xf>
    <xf numFmtId="4" fontId="26" fillId="5" borderId="59" xfId="0" applyNumberFormat="1" applyFont="1" applyFill="1" applyBorder="1" applyAlignment="1">
      <alignment horizontal="center"/>
    </xf>
    <xf numFmtId="4" fontId="26" fillId="5" borderId="60" xfId="0" applyNumberFormat="1" applyFont="1" applyFill="1" applyBorder="1" applyAlignment="1">
      <alignment horizontal="center"/>
    </xf>
    <xf numFmtId="0" fontId="26" fillId="0" borderId="53" xfId="0" applyFont="1" applyBorder="1"/>
    <xf numFmtId="0" fontId="26" fillId="0" borderId="26" xfId="0" applyFont="1" applyBorder="1"/>
    <xf numFmtId="0" fontId="26" fillId="5" borderId="53" xfId="0" applyFont="1" applyFill="1" applyBorder="1"/>
    <xf numFmtId="0" fontId="26" fillId="5" borderId="26" xfId="0" applyFont="1" applyFill="1" applyBorder="1"/>
    <xf numFmtId="4" fontId="26" fillId="3" borderId="53" xfId="0" applyNumberFormat="1" applyFont="1" applyFill="1" applyBorder="1" applyAlignment="1">
      <alignment horizontal="center"/>
    </xf>
    <xf numFmtId="4" fontId="26" fillId="3" borderId="26" xfId="0" applyNumberFormat="1" applyFont="1" applyFill="1" applyBorder="1" applyAlignment="1">
      <alignment horizontal="center"/>
    </xf>
    <xf numFmtId="0" fontId="0" fillId="3" borderId="0" xfId="0" applyFill="1"/>
    <xf numFmtId="0" fontId="7" fillId="0" borderId="53" xfId="0" applyFont="1" applyBorder="1" applyAlignment="1">
      <alignment vertical="top" wrapText="1"/>
    </xf>
    <xf numFmtId="0" fontId="7" fillId="5" borderId="53" xfId="0" applyFont="1" applyFill="1" applyBorder="1" applyAlignment="1">
      <alignment vertical="top" wrapText="1"/>
    </xf>
    <xf numFmtId="49" fontId="23" fillId="4" borderId="36" xfId="0" applyNumberFormat="1" applyFont="1" applyFill="1" applyBorder="1" applyAlignment="1">
      <alignment horizontal="left" vertical="top" wrapText="1"/>
    </xf>
    <xf numFmtId="49" fontId="23" fillId="5" borderId="36" xfId="0" applyNumberFormat="1" applyFont="1" applyFill="1" applyBorder="1" applyAlignment="1">
      <alignment horizontal="left" vertical="top" wrapText="1"/>
    </xf>
    <xf numFmtId="0" fontId="20" fillId="3" borderId="34" xfId="0" applyFont="1" applyFill="1" applyBorder="1" applyAlignment="1">
      <alignment vertical="top" wrapText="1"/>
    </xf>
    <xf numFmtId="0" fontId="20" fillId="0" borderId="34" xfId="1" applyFont="1" applyFill="1" applyBorder="1" applyAlignment="1">
      <alignment horizontal="left" vertical="top" wrapText="1"/>
    </xf>
    <xf numFmtId="0" fontId="20" fillId="0" borderId="36" xfId="1" applyFont="1" applyFill="1" applyBorder="1" applyAlignment="1">
      <alignment horizontal="left" vertical="top" wrapText="1"/>
    </xf>
    <xf numFmtId="0" fontId="20" fillId="0" borderId="34" xfId="0" applyFont="1" applyFill="1" applyBorder="1" applyAlignment="1">
      <alignment vertical="top" wrapText="1"/>
    </xf>
    <xf numFmtId="0" fontId="19" fillId="7" borderId="34" xfId="0" applyFont="1" applyFill="1" applyBorder="1" applyAlignment="1">
      <alignment vertical="top" wrapText="1"/>
    </xf>
    <xf numFmtId="0" fontId="20" fillId="4" borderId="36" xfId="0" applyFont="1" applyFill="1" applyBorder="1" applyAlignment="1">
      <alignment vertical="top" wrapText="1"/>
    </xf>
    <xf numFmtId="0" fontId="20" fillId="0" borderId="36" xfId="0" applyFont="1" applyFill="1" applyBorder="1" applyAlignment="1">
      <alignment vertical="top" wrapText="1"/>
    </xf>
    <xf numFmtId="49" fontId="20" fillId="3" borderId="34" xfId="0" applyNumberFormat="1" applyFont="1" applyFill="1" applyBorder="1" applyAlignment="1">
      <alignment horizontal="left" vertical="top" wrapText="1"/>
    </xf>
    <xf numFmtId="49" fontId="22" fillId="5" borderId="34" xfId="0" applyNumberFormat="1" applyFont="1" applyFill="1" applyBorder="1" applyAlignment="1">
      <alignment horizontal="left" vertical="top" wrapText="1"/>
    </xf>
    <xf numFmtId="0" fontId="20" fillId="3" borderId="34" xfId="0" applyFont="1" applyFill="1" applyBorder="1" applyAlignment="1">
      <alignment horizontal="left" vertical="top" wrapText="1"/>
    </xf>
    <xf numFmtId="3" fontId="19" fillId="7" borderId="34" xfId="0" applyNumberFormat="1" applyFont="1" applyFill="1" applyBorder="1" applyAlignment="1">
      <alignment horizontal="left" vertical="top"/>
    </xf>
    <xf numFmtId="49" fontId="20" fillId="4" borderId="34" xfId="0" applyNumberFormat="1" applyFont="1" applyFill="1" applyBorder="1" applyAlignment="1">
      <alignment horizontal="left" vertical="top" wrapText="1"/>
    </xf>
    <xf numFmtId="0" fontId="20" fillId="3" borderId="36" xfId="0" applyFont="1" applyFill="1" applyBorder="1" applyAlignment="1">
      <alignment horizontal="left" vertical="top" wrapText="1"/>
    </xf>
    <xf numFmtId="0" fontId="20" fillId="3" borderId="36" xfId="0" applyFont="1" applyFill="1" applyBorder="1" applyAlignment="1">
      <alignment vertical="top" wrapText="1"/>
    </xf>
    <xf numFmtId="0" fontId="20" fillId="5" borderId="36" xfId="0" applyFont="1" applyFill="1" applyBorder="1" applyAlignment="1">
      <alignment vertical="top" wrapText="1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27" fillId="8" borderId="61" xfId="0" applyFont="1" applyFill="1" applyBorder="1" applyAlignment="1">
      <alignment vertical="top" wrapText="1"/>
    </xf>
    <xf numFmtId="0" fontId="7" fillId="3" borderId="57" xfId="0" applyFont="1" applyFill="1" applyBorder="1" applyAlignment="1">
      <alignment vertical="top" wrapText="1"/>
    </xf>
    <xf numFmtId="0" fontId="4" fillId="3" borderId="53" xfId="0" applyFont="1" applyFill="1" applyBorder="1" applyAlignment="1">
      <alignment vertical="top" wrapText="1"/>
    </xf>
    <xf numFmtId="0" fontId="4" fillId="0" borderId="53" xfId="0" applyFont="1" applyBorder="1" applyAlignment="1">
      <alignment vertical="top" wrapText="1"/>
    </xf>
    <xf numFmtId="0" fontId="4" fillId="5" borderId="53" xfId="0" applyFont="1" applyFill="1" applyBorder="1" applyAlignment="1">
      <alignment vertical="top" wrapText="1"/>
    </xf>
    <xf numFmtId="0" fontId="7" fillId="10" borderId="53" xfId="0" applyFont="1" applyFill="1" applyBorder="1" applyAlignment="1">
      <alignment vertical="top" wrapText="1"/>
    </xf>
    <xf numFmtId="0" fontId="4" fillId="10" borderId="53" xfId="0" applyFont="1" applyFill="1" applyBorder="1" applyAlignment="1">
      <alignment vertical="top" wrapText="1"/>
    </xf>
    <xf numFmtId="0" fontId="7" fillId="2" borderId="53" xfId="0" applyFont="1" applyFill="1" applyBorder="1" applyAlignment="1">
      <alignment vertical="top" wrapText="1"/>
    </xf>
    <xf numFmtId="0" fontId="4" fillId="2" borderId="53" xfId="0" applyFont="1" applyFill="1" applyBorder="1" applyAlignment="1">
      <alignment vertical="top" wrapText="1"/>
    </xf>
    <xf numFmtId="0" fontId="4" fillId="0" borderId="53" xfId="0" applyFont="1" applyFill="1" applyBorder="1" applyAlignment="1">
      <alignment vertical="top" wrapText="1"/>
    </xf>
    <xf numFmtId="0" fontId="7" fillId="3" borderId="53" xfId="0" applyFont="1" applyFill="1" applyBorder="1" applyAlignment="1">
      <alignment vertical="top" wrapText="1"/>
    </xf>
    <xf numFmtId="0" fontId="7" fillId="4" borderId="53" xfId="0" applyFont="1" applyFill="1" applyBorder="1" applyAlignment="1">
      <alignment vertical="top" wrapText="1"/>
    </xf>
    <xf numFmtId="0" fontId="4" fillId="4" borderId="53" xfId="0" applyFont="1" applyFill="1" applyBorder="1" applyAlignment="1">
      <alignment vertical="top" wrapText="1"/>
    </xf>
    <xf numFmtId="0" fontId="4" fillId="0" borderId="53" xfId="0" applyFont="1" applyBorder="1" applyAlignment="1">
      <alignment vertical="top"/>
    </xf>
    <xf numFmtId="0" fontId="4" fillId="0" borderId="62" xfId="0" applyFont="1" applyBorder="1" applyAlignment="1">
      <alignment vertical="top" wrapText="1"/>
    </xf>
    <xf numFmtId="0" fontId="4" fillId="0" borderId="63" xfId="0" applyFont="1" applyBorder="1" applyAlignment="1">
      <alignment vertical="top" wrapText="1"/>
    </xf>
    <xf numFmtId="4" fontId="27" fillId="3" borderId="38" xfId="0" applyNumberFormat="1" applyFont="1" applyFill="1" applyBorder="1" applyAlignment="1">
      <alignment horizontal="center"/>
    </xf>
    <xf numFmtId="4" fontId="2" fillId="10" borderId="30" xfId="0" applyNumberFormat="1" applyFont="1" applyFill="1" applyBorder="1" applyAlignment="1">
      <alignment horizontal="center"/>
    </xf>
    <xf numFmtId="4" fontId="1" fillId="10" borderId="30" xfId="0" applyNumberFormat="1" applyFont="1" applyFill="1" applyBorder="1" applyAlignment="1">
      <alignment horizontal="center"/>
    </xf>
    <xf numFmtId="4" fontId="27" fillId="10" borderId="38" xfId="0" applyNumberFormat="1" applyFont="1" applyFill="1" applyBorder="1" applyAlignment="1">
      <alignment horizontal="center"/>
    </xf>
    <xf numFmtId="4" fontId="13" fillId="10" borderId="30" xfId="0" applyNumberFormat="1" applyFont="1" applyFill="1" applyBorder="1" applyAlignment="1">
      <alignment horizontal="center"/>
    </xf>
    <xf numFmtId="4" fontId="14" fillId="10" borderId="30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1" fillId="0" borderId="25" xfId="0" applyFont="1" applyFill="1" applyBorder="1" applyAlignment="1">
      <alignment horizontal="center"/>
    </xf>
    <xf numFmtId="0" fontId="7" fillId="12" borderId="53" xfId="0" applyFont="1" applyFill="1" applyBorder="1" applyAlignment="1">
      <alignment vertical="top" wrapText="1"/>
    </xf>
    <xf numFmtId="49" fontId="4" fillId="12" borderId="25" xfId="0" applyNumberFormat="1" applyFont="1" applyFill="1" applyBorder="1" applyAlignment="1">
      <alignment horizontal="center"/>
    </xf>
    <xf numFmtId="4" fontId="2" fillId="12" borderId="25" xfId="0" applyNumberFormat="1" applyFont="1" applyFill="1" applyBorder="1" applyAlignment="1">
      <alignment horizontal="center"/>
    </xf>
    <xf numFmtId="4" fontId="2" fillId="12" borderId="30" xfId="0" applyNumberFormat="1" applyFont="1" applyFill="1" applyBorder="1" applyAlignment="1">
      <alignment horizontal="center"/>
    </xf>
    <xf numFmtId="4" fontId="1" fillId="12" borderId="30" xfId="0" applyNumberFormat="1" applyFont="1" applyFill="1" applyBorder="1" applyAlignment="1">
      <alignment horizontal="center"/>
    </xf>
    <xf numFmtId="4" fontId="1" fillId="12" borderId="40" xfId="0" applyNumberFormat="1" applyFont="1" applyFill="1" applyBorder="1" applyAlignment="1">
      <alignment horizontal="center"/>
    </xf>
    <xf numFmtId="4" fontId="27" fillId="12" borderId="38" xfId="0" applyNumberFormat="1" applyFont="1" applyFill="1" applyBorder="1" applyAlignment="1">
      <alignment horizontal="center"/>
    </xf>
    <xf numFmtId="4" fontId="1" fillId="12" borderId="25" xfId="0" applyNumberFormat="1" applyFont="1" applyFill="1" applyBorder="1" applyAlignment="1">
      <alignment horizontal="center"/>
    </xf>
    <xf numFmtId="4" fontId="13" fillId="12" borderId="31" xfId="0" applyNumberFormat="1" applyFont="1" applyFill="1" applyBorder="1" applyAlignment="1">
      <alignment horizontal="center"/>
    </xf>
    <xf numFmtId="0" fontId="4" fillId="12" borderId="53" xfId="0" applyFont="1" applyFill="1" applyBorder="1" applyAlignment="1">
      <alignment vertical="top" wrapText="1"/>
    </xf>
    <xf numFmtId="49" fontId="7" fillId="12" borderId="25" xfId="0" applyNumberFormat="1" applyFont="1" applyFill="1" applyBorder="1" applyAlignment="1">
      <alignment horizontal="center"/>
    </xf>
    <xf numFmtId="4" fontId="15" fillId="12" borderId="25" xfId="0" applyNumberFormat="1" applyFont="1" applyFill="1" applyBorder="1" applyAlignment="1">
      <alignment horizontal="center"/>
    </xf>
    <xf numFmtId="4" fontId="16" fillId="12" borderId="25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 vertical="top"/>
    </xf>
    <xf numFmtId="4" fontId="0" fillId="0" borderId="25" xfId="0" applyNumberFormat="1" applyFont="1" applyBorder="1" applyAlignment="1">
      <alignment horizontal="center"/>
    </xf>
    <xf numFmtId="0" fontId="31" fillId="0" borderId="53" xfId="0" applyFont="1" applyFill="1" applyBorder="1" applyAlignment="1">
      <alignment vertical="top" wrapText="1"/>
    </xf>
    <xf numFmtId="49" fontId="31" fillId="5" borderId="25" xfId="0" applyNumberFormat="1" applyFont="1" applyFill="1" applyBorder="1" applyAlignment="1">
      <alignment horizontal="center"/>
    </xf>
    <xf numFmtId="4" fontId="32" fillId="5" borderId="25" xfId="0" applyNumberFormat="1" applyFont="1" applyFill="1" applyBorder="1" applyAlignment="1">
      <alignment horizontal="center"/>
    </xf>
    <xf numFmtId="4" fontId="32" fillId="0" borderId="30" xfId="0" applyNumberFormat="1" applyFont="1" applyFill="1" applyBorder="1" applyAlignment="1">
      <alignment horizontal="center"/>
    </xf>
    <xf numFmtId="4" fontId="33" fillId="0" borderId="30" xfId="0" applyNumberFormat="1" applyFont="1" applyFill="1" applyBorder="1" applyAlignment="1">
      <alignment horizontal="center"/>
    </xf>
    <xf numFmtId="4" fontId="33" fillId="5" borderId="40" xfId="0" applyNumberFormat="1" applyFont="1" applyFill="1" applyBorder="1" applyAlignment="1">
      <alignment horizontal="center"/>
    </xf>
    <xf numFmtId="4" fontId="34" fillId="5" borderId="38" xfId="0" applyNumberFormat="1" applyFont="1" applyFill="1" applyBorder="1" applyAlignment="1">
      <alignment horizontal="center"/>
    </xf>
    <xf numFmtId="4" fontId="32" fillId="0" borderId="25" xfId="0" applyNumberFormat="1" applyFont="1" applyFill="1" applyBorder="1" applyAlignment="1">
      <alignment horizontal="center"/>
    </xf>
    <xf numFmtId="4" fontId="33" fillId="0" borderId="25" xfId="0" applyNumberFormat="1" applyFont="1" applyFill="1" applyBorder="1" applyAlignment="1">
      <alignment horizontal="center"/>
    </xf>
    <xf numFmtId="4" fontId="35" fillId="0" borderId="31" xfId="0" applyNumberFormat="1" applyFont="1" applyFill="1" applyBorder="1" applyAlignment="1">
      <alignment horizontal="center"/>
    </xf>
    <xf numFmtId="0" fontId="31" fillId="0" borderId="53" xfId="0" applyFont="1" applyBorder="1" applyAlignment="1">
      <alignment vertical="top" wrapText="1"/>
    </xf>
    <xf numFmtId="49" fontId="31" fillId="0" borderId="25" xfId="0" applyNumberFormat="1" applyFont="1" applyBorder="1" applyAlignment="1">
      <alignment horizontal="center"/>
    </xf>
    <xf numFmtId="4" fontId="32" fillId="0" borderId="25" xfId="0" applyNumberFormat="1" applyFont="1" applyBorder="1" applyAlignment="1">
      <alignment horizontal="center"/>
    </xf>
    <xf numFmtId="4" fontId="33" fillId="0" borderId="25" xfId="0" applyNumberFormat="1" applyFont="1" applyBorder="1" applyAlignment="1">
      <alignment horizontal="center"/>
    </xf>
    <xf numFmtId="4" fontId="35" fillId="0" borderId="31" xfId="0" applyNumberFormat="1" applyFont="1" applyBorder="1" applyAlignment="1">
      <alignment horizontal="center"/>
    </xf>
    <xf numFmtId="0" fontId="4" fillId="13" borderId="53" xfId="0" applyFont="1" applyFill="1" applyBorder="1" applyAlignment="1">
      <alignment vertical="top" wrapText="1"/>
    </xf>
    <xf numFmtId="0" fontId="7" fillId="13" borderId="53" xfId="0" applyFont="1" applyFill="1" applyBorder="1" applyAlignment="1">
      <alignment vertical="top" wrapText="1"/>
    </xf>
    <xf numFmtId="49" fontId="4" fillId="13" borderId="25" xfId="0" applyNumberFormat="1" applyFont="1" applyFill="1" applyBorder="1" applyAlignment="1">
      <alignment horizontal="center"/>
    </xf>
    <xf numFmtId="49" fontId="7" fillId="13" borderId="25" xfId="0" applyNumberFormat="1" applyFont="1" applyFill="1" applyBorder="1" applyAlignment="1">
      <alignment horizontal="center"/>
    </xf>
    <xf numFmtId="4" fontId="13" fillId="13" borderId="25" xfId="0" applyNumberFormat="1" applyFont="1" applyFill="1" applyBorder="1" applyAlignment="1">
      <alignment horizontal="center"/>
    </xf>
    <xf numFmtId="4" fontId="13" fillId="13" borderId="30" xfId="0" applyNumberFormat="1" applyFont="1" applyFill="1" applyBorder="1" applyAlignment="1">
      <alignment horizontal="center"/>
    </xf>
    <xf numFmtId="4" fontId="1" fillId="13" borderId="30" xfId="0" applyNumberFormat="1" applyFont="1" applyFill="1" applyBorder="1" applyAlignment="1">
      <alignment horizontal="center"/>
    </xf>
    <xf numFmtId="4" fontId="1" fillId="13" borderId="40" xfId="0" applyNumberFormat="1" applyFont="1" applyFill="1" applyBorder="1" applyAlignment="1">
      <alignment horizontal="center"/>
    </xf>
    <xf numFmtId="4" fontId="27" fillId="13" borderId="38" xfId="0" applyNumberFormat="1" applyFont="1" applyFill="1" applyBorder="1" applyAlignment="1">
      <alignment horizontal="center"/>
    </xf>
    <xf numFmtId="4" fontId="2" fillId="13" borderId="25" xfId="0" applyNumberFormat="1" applyFont="1" applyFill="1" applyBorder="1" applyAlignment="1">
      <alignment horizontal="center"/>
    </xf>
    <xf numFmtId="4" fontId="1" fillId="13" borderId="25" xfId="0" applyNumberFormat="1" applyFont="1" applyFill="1" applyBorder="1" applyAlignment="1">
      <alignment horizontal="center"/>
    </xf>
    <xf numFmtId="4" fontId="13" fillId="13" borderId="31" xfId="0" applyNumberFormat="1" applyFont="1" applyFill="1" applyBorder="1" applyAlignment="1">
      <alignment horizontal="center"/>
    </xf>
    <xf numFmtId="4" fontId="2" fillId="13" borderId="30" xfId="0" applyNumberFormat="1" applyFont="1" applyFill="1" applyBorder="1" applyAlignment="1">
      <alignment horizontal="center"/>
    </xf>
    <xf numFmtId="0" fontId="4" fillId="14" borderId="53" xfId="0" applyFont="1" applyFill="1" applyBorder="1" applyAlignment="1">
      <alignment vertical="top" wrapText="1"/>
    </xf>
    <xf numFmtId="49" fontId="4" fillId="14" borderId="25" xfId="0" applyNumberFormat="1" applyFont="1" applyFill="1" applyBorder="1" applyAlignment="1">
      <alignment horizontal="center"/>
    </xf>
    <xf numFmtId="4" fontId="2" fillId="14" borderId="25" xfId="0" applyNumberFormat="1" applyFont="1" applyFill="1" applyBorder="1" applyAlignment="1">
      <alignment horizontal="center"/>
    </xf>
    <xf numFmtId="4" fontId="2" fillId="14" borderId="30" xfId="0" applyNumberFormat="1" applyFont="1" applyFill="1" applyBorder="1" applyAlignment="1">
      <alignment horizontal="center"/>
    </xf>
    <xf numFmtId="4" fontId="1" fillId="14" borderId="30" xfId="0" applyNumberFormat="1" applyFont="1" applyFill="1" applyBorder="1" applyAlignment="1">
      <alignment horizontal="center"/>
    </xf>
    <xf numFmtId="4" fontId="1" fillId="14" borderId="40" xfId="0" applyNumberFormat="1" applyFont="1" applyFill="1" applyBorder="1" applyAlignment="1">
      <alignment horizontal="center"/>
    </xf>
    <xf numFmtId="4" fontId="27" fillId="14" borderId="38" xfId="0" applyNumberFormat="1" applyFont="1" applyFill="1" applyBorder="1" applyAlignment="1">
      <alignment horizontal="center"/>
    </xf>
    <xf numFmtId="4" fontId="1" fillId="14" borderId="25" xfId="0" applyNumberFormat="1" applyFont="1" applyFill="1" applyBorder="1" applyAlignment="1">
      <alignment horizontal="center"/>
    </xf>
    <xf numFmtId="4" fontId="13" fillId="14" borderId="31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2" fontId="23" fillId="5" borderId="36" xfId="0" applyNumberFormat="1" applyFont="1" applyFill="1" applyBorder="1" applyAlignment="1">
      <alignment horizontal="left" vertical="top" wrapText="1"/>
    </xf>
    <xf numFmtId="4" fontId="0" fillId="16" borderId="25" xfId="0" applyNumberFormat="1" applyFont="1" applyFill="1" applyBorder="1" applyAlignment="1">
      <alignment horizontal="center"/>
    </xf>
    <xf numFmtId="4" fontId="2" fillId="16" borderId="25" xfId="0" applyNumberFormat="1" applyFont="1" applyFill="1" applyBorder="1" applyAlignment="1">
      <alignment horizontal="center"/>
    </xf>
    <xf numFmtId="0" fontId="20" fillId="15" borderId="24" xfId="0" applyFont="1" applyFill="1" applyBorder="1" applyAlignment="1">
      <alignment wrapText="1"/>
    </xf>
    <xf numFmtId="0" fontId="20" fillId="0" borderId="24" xfId="0" applyFont="1" applyBorder="1" applyAlignment="1">
      <alignment wrapText="1"/>
    </xf>
    <xf numFmtId="0" fontId="19" fillId="8" borderId="37" xfId="0" applyFont="1" applyFill="1" applyBorder="1" applyAlignment="1">
      <alignment horizontal="left" vertical="top" wrapText="1"/>
    </xf>
    <xf numFmtId="0" fontId="19" fillId="9" borderId="36" xfId="0" applyFont="1" applyFill="1" applyBorder="1" applyAlignment="1">
      <alignment vertical="top" wrapText="1"/>
    </xf>
    <xf numFmtId="0" fontId="19" fillId="4" borderId="36" xfId="0" applyFont="1" applyFill="1" applyBorder="1" applyAlignment="1">
      <alignment horizontal="left" vertical="top" wrapText="1"/>
    </xf>
    <xf numFmtId="0" fontId="20" fillId="0" borderId="36" xfId="0" applyNumberFormat="1" applyFont="1" applyFill="1" applyBorder="1" applyAlignment="1">
      <alignment vertical="top" wrapText="1"/>
    </xf>
    <xf numFmtId="0" fontId="20" fillId="4" borderId="36" xfId="0" applyFont="1" applyFill="1" applyBorder="1" applyAlignment="1">
      <alignment horizontal="left" vertical="top" wrapText="1"/>
    </xf>
    <xf numFmtId="0" fontId="19" fillId="7" borderId="36" xfId="0" applyFont="1" applyFill="1" applyBorder="1" applyAlignment="1">
      <alignment horizontal="left" vertical="top" wrapText="1"/>
    </xf>
    <xf numFmtId="0" fontId="20" fillId="4" borderId="36" xfId="1" applyFont="1" applyFill="1" applyBorder="1" applyAlignment="1">
      <alignment horizontal="left" vertical="top" wrapText="1"/>
    </xf>
    <xf numFmtId="49" fontId="22" fillId="0" borderId="36" xfId="0" applyNumberFormat="1" applyFont="1" applyBorder="1" applyAlignment="1">
      <alignment horizontal="left" vertical="top" wrapText="1"/>
    </xf>
    <xf numFmtId="49" fontId="22" fillId="0" borderId="64" xfId="0" applyNumberFormat="1" applyFont="1" applyBorder="1" applyAlignment="1">
      <alignment horizontal="left" vertical="top" wrapText="1"/>
    </xf>
    <xf numFmtId="49" fontId="20" fillId="5" borderId="65" xfId="0" applyNumberFormat="1" applyFont="1" applyFill="1" applyBorder="1" applyAlignment="1">
      <alignment horizontal="left" vertical="top" wrapText="1"/>
    </xf>
    <xf numFmtId="49" fontId="22" fillId="5" borderId="64" xfId="0" applyNumberFormat="1" applyFont="1" applyFill="1" applyBorder="1" applyAlignment="1">
      <alignment horizontal="left" vertical="top" wrapText="1"/>
    </xf>
    <xf numFmtId="49" fontId="22" fillId="5" borderId="66" xfId="0" applyNumberFormat="1" applyFont="1" applyFill="1" applyBorder="1" applyAlignment="1">
      <alignment horizontal="left" vertical="top" wrapText="1"/>
    </xf>
    <xf numFmtId="49" fontId="22" fillId="0" borderId="24" xfId="0" applyNumberFormat="1" applyFont="1" applyBorder="1" applyAlignment="1">
      <alignment horizontal="left" vertical="top" wrapText="1"/>
    </xf>
    <xf numFmtId="49" fontId="20" fillId="3" borderId="24" xfId="0" applyNumberFormat="1" applyFont="1" applyFill="1" applyBorder="1" applyAlignment="1">
      <alignment horizontal="left" vertical="top" wrapText="1"/>
    </xf>
    <xf numFmtId="0" fontId="20" fillId="0" borderId="36" xfId="0" applyFont="1" applyFill="1" applyBorder="1" applyAlignment="1">
      <alignment horizontal="left" vertical="top" wrapText="1"/>
    </xf>
    <xf numFmtId="0" fontId="19" fillId="7" borderId="36" xfId="0" applyFont="1" applyFill="1" applyBorder="1" applyAlignment="1">
      <alignment horizontal="left" vertical="center" wrapText="1"/>
    </xf>
    <xf numFmtId="0" fontId="20" fillId="5" borderId="36" xfId="0" quotePrefix="1" applyFont="1" applyFill="1" applyBorder="1" applyAlignment="1">
      <alignment horizontal="left" vertical="top" wrapText="1"/>
    </xf>
    <xf numFmtId="0" fontId="22" fillId="5" borderId="36" xfId="0" applyNumberFormat="1" applyFont="1" applyFill="1" applyBorder="1" applyAlignment="1">
      <alignment horizontal="left" vertical="top" wrapText="1"/>
    </xf>
    <xf numFmtId="49" fontId="20" fillId="0" borderId="66" xfId="0" applyNumberFormat="1" applyFont="1" applyBorder="1" applyAlignment="1">
      <alignment horizontal="left" vertical="top" wrapText="1"/>
    </xf>
    <xf numFmtId="49" fontId="24" fillId="7" borderId="36" xfId="0" applyNumberFormat="1" applyFont="1" applyFill="1" applyBorder="1" applyAlignment="1">
      <alignment horizontal="left" vertical="center" wrapText="1"/>
    </xf>
    <xf numFmtId="49" fontId="24" fillId="11" borderId="36" xfId="0" applyNumberFormat="1" applyFont="1" applyFill="1" applyBorder="1" applyAlignment="1">
      <alignment horizontal="left" vertical="top" wrapText="1"/>
    </xf>
    <xf numFmtId="49" fontId="24" fillId="7" borderId="36" xfId="0" applyNumberFormat="1" applyFont="1" applyFill="1" applyBorder="1" applyAlignment="1">
      <alignment horizontal="left" vertical="top" wrapText="1"/>
    </xf>
    <xf numFmtId="49" fontId="23" fillId="3" borderId="36" xfId="0" applyNumberFormat="1" applyFont="1" applyFill="1" applyBorder="1" applyAlignment="1">
      <alignment horizontal="left" vertical="top" wrapText="1"/>
    </xf>
    <xf numFmtId="2" fontId="24" fillId="7" borderId="36" xfId="0" applyNumberFormat="1" applyFont="1" applyFill="1" applyBorder="1" applyAlignment="1">
      <alignment horizontal="left" vertical="top" wrapText="1"/>
    </xf>
    <xf numFmtId="0" fontId="25" fillId="8" borderId="11" xfId="0" applyFont="1" applyFill="1" applyBorder="1" applyAlignment="1">
      <alignment vertical="top" wrapText="1"/>
    </xf>
    <xf numFmtId="0" fontId="25" fillId="8" borderId="20" xfId="0" applyFont="1" applyFill="1" applyBorder="1" applyAlignment="1">
      <alignment vertical="top" wrapText="1"/>
    </xf>
    <xf numFmtId="49" fontId="19" fillId="8" borderId="1" xfId="0" applyNumberFormat="1" applyFont="1" applyFill="1" applyBorder="1" applyAlignment="1">
      <alignment horizontal="left" vertical="top" wrapText="1"/>
    </xf>
    <xf numFmtId="49" fontId="19" fillId="9" borderId="34" xfId="0" applyNumberFormat="1" applyFont="1" applyFill="1" applyBorder="1" applyAlignment="1">
      <alignment horizontal="left" vertical="top" wrapText="1"/>
    </xf>
    <xf numFmtId="49" fontId="19" fillId="4" borderId="34" xfId="0" applyNumberFormat="1" applyFont="1" applyFill="1" applyBorder="1" applyAlignment="1">
      <alignment horizontal="left" vertical="top" wrapText="1"/>
    </xf>
    <xf numFmtId="49" fontId="20" fillId="3" borderId="34" xfId="1" applyNumberFormat="1" applyFont="1" applyFill="1" applyBorder="1" applyAlignment="1">
      <alignment horizontal="left" vertical="top" wrapText="1"/>
    </xf>
    <xf numFmtId="0" fontId="20" fillId="0" borderId="14" xfId="1" applyFont="1" applyFill="1" applyBorder="1" applyAlignment="1">
      <alignment horizontal="left" vertical="top" wrapText="1"/>
    </xf>
    <xf numFmtId="0" fontId="20" fillId="3" borderId="34" xfId="1" applyFont="1" applyFill="1" applyBorder="1" applyAlignment="1">
      <alignment horizontal="left" vertical="top" wrapText="1"/>
    </xf>
    <xf numFmtId="0" fontId="22" fillId="0" borderId="34" xfId="1" applyFont="1" applyFill="1" applyBorder="1" applyAlignment="1">
      <alignment horizontal="left" vertical="top" wrapText="1"/>
    </xf>
    <xf numFmtId="0" fontId="20" fillId="4" borderId="34" xfId="0" applyFont="1" applyFill="1" applyBorder="1" applyAlignment="1">
      <alignment vertical="top" wrapText="1"/>
    </xf>
    <xf numFmtId="49" fontId="19" fillId="7" borderId="34" xfId="0" applyNumberFormat="1" applyFont="1" applyFill="1" applyBorder="1" applyAlignment="1">
      <alignment horizontal="left" vertical="top" wrapText="1"/>
    </xf>
    <xf numFmtId="49" fontId="20" fillId="4" borderId="34" xfId="1" applyNumberFormat="1" applyFont="1" applyFill="1" applyBorder="1" applyAlignment="1">
      <alignment horizontal="left" vertical="top" wrapText="1"/>
    </xf>
    <xf numFmtId="49" fontId="22" fillId="5" borderId="34" xfId="1" applyNumberFormat="1" applyFont="1" applyFill="1" applyBorder="1" applyAlignment="1">
      <alignment horizontal="left" vertical="top" wrapText="1"/>
    </xf>
    <xf numFmtId="49" fontId="20" fillId="5" borderId="34" xfId="1" applyNumberFormat="1" applyFont="1" applyFill="1" applyBorder="1" applyAlignment="1">
      <alignment horizontal="left" vertical="top" wrapText="1"/>
    </xf>
    <xf numFmtId="49" fontId="22" fillId="3" borderId="34" xfId="1" applyNumberFormat="1" applyFont="1" applyFill="1" applyBorder="1" applyAlignment="1">
      <alignment horizontal="left" vertical="top" wrapText="1"/>
    </xf>
    <xf numFmtId="49" fontId="20" fillId="0" borderId="34" xfId="0" applyNumberFormat="1" applyFont="1" applyFill="1" applyBorder="1" applyAlignment="1">
      <alignment horizontal="left" vertical="top" wrapText="1"/>
    </xf>
    <xf numFmtId="49" fontId="20" fillId="5" borderId="1" xfId="0" applyNumberFormat="1" applyFont="1" applyFill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horizontal="left" vertical="top" wrapText="1"/>
    </xf>
    <xf numFmtId="49" fontId="20" fillId="4" borderId="1" xfId="1" applyNumberFormat="1" applyFont="1" applyFill="1" applyBorder="1" applyAlignment="1">
      <alignment horizontal="left" vertical="top" wrapText="1"/>
    </xf>
    <xf numFmtId="49" fontId="20" fillId="5" borderId="1" xfId="1" applyNumberFormat="1" applyFont="1" applyFill="1" applyBorder="1" applyAlignment="1">
      <alignment horizontal="left" vertical="top" wrapText="1"/>
    </xf>
    <xf numFmtId="0" fontId="24" fillId="7" borderId="34" xfId="0" applyFont="1" applyFill="1" applyBorder="1" applyAlignment="1">
      <alignment horizontal="left" vertical="top" wrapText="1"/>
    </xf>
    <xf numFmtId="0" fontId="23" fillId="4" borderId="34" xfId="0" applyFont="1" applyFill="1" applyBorder="1" applyAlignment="1">
      <alignment horizontal="left" vertical="top" wrapText="1"/>
    </xf>
    <xf numFmtId="0" fontId="22" fillId="5" borderId="34" xfId="0" applyFont="1" applyFill="1" applyBorder="1" applyAlignment="1">
      <alignment horizontal="left" vertical="top" wrapText="1"/>
    </xf>
    <xf numFmtId="0" fontId="23" fillId="5" borderId="34" xfId="0" applyFont="1" applyFill="1" applyBorder="1" applyAlignment="1">
      <alignment horizontal="left" vertical="top" wrapText="1"/>
    </xf>
    <xf numFmtId="0" fontId="24" fillId="11" borderId="34" xfId="0" applyFont="1" applyFill="1" applyBorder="1" applyAlignment="1">
      <alignment horizontal="left" vertical="top" wrapText="1"/>
    </xf>
    <xf numFmtId="0" fontId="20" fillId="5" borderId="34" xfId="0" applyFont="1" applyFill="1" applyBorder="1" applyAlignment="1">
      <alignment vertical="top" wrapText="1"/>
    </xf>
    <xf numFmtId="0" fontId="23" fillId="3" borderId="34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vertical="top" wrapText="1"/>
    </xf>
    <xf numFmtId="0" fontId="24" fillId="7" borderId="51" xfId="0" applyFont="1" applyFill="1" applyBorder="1" applyAlignment="1">
      <alignment horizontal="left" vertical="top" wrapText="1"/>
    </xf>
    <xf numFmtId="0" fontId="23" fillId="5" borderId="51" xfId="0" applyFont="1" applyFill="1" applyBorder="1" applyAlignment="1">
      <alignment horizontal="left" vertical="top" wrapText="1"/>
    </xf>
    <xf numFmtId="49" fontId="19" fillId="8" borderId="18" xfId="0" applyNumberFormat="1" applyFont="1" applyFill="1" applyBorder="1" applyAlignment="1">
      <alignment horizontal="left" vertical="top" wrapText="1"/>
    </xf>
    <xf numFmtId="49" fontId="19" fillId="8" borderId="16" xfId="0" applyNumberFormat="1" applyFont="1" applyFill="1" applyBorder="1" applyAlignment="1">
      <alignment horizontal="left" vertical="top" wrapText="1"/>
    </xf>
    <xf numFmtId="0" fontId="20" fillId="5" borderId="36" xfId="0" applyNumberFormat="1" applyFont="1" applyFill="1" applyBorder="1" applyAlignment="1">
      <alignment horizontal="left" vertical="top" wrapText="1"/>
    </xf>
    <xf numFmtId="0" fontId="31" fillId="0" borderId="25" xfId="2" applyFont="1" applyBorder="1" applyAlignment="1">
      <alignment horizontal="left" vertical="top" wrapText="1" readingOrder="1"/>
    </xf>
    <xf numFmtId="0" fontId="31" fillId="0" borderId="25" xfId="2" applyFont="1" applyBorder="1" applyAlignment="1">
      <alignment vertical="justify" wrapText="1" readingOrder="1"/>
    </xf>
    <xf numFmtId="0" fontId="0" fillId="0" borderId="30" xfId="0" applyFill="1" applyBorder="1"/>
    <xf numFmtId="4" fontId="1" fillId="16" borderId="25" xfId="0" applyNumberFormat="1" applyFont="1" applyFill="1" applyBorder="1" applyAlignment="1">
      <alignment horizontal="center"/>
    </xf>
    <xf numFmtId="2" fontId="26" fillId="16" borderId="36" xfId="0" applyNumberFormat="1" applyFont="1" applyFill="1" applyBorder="1" applyAlignment="1">
      <alignment horizontal="right" vertical="top" wrapText="1"/>
    </xf>
    <xf numFmtId="4" fontId="13" fillId="16" borderId="31" xfId="0" applyNumberFormat="1" applyFont="1" applyFill="1" applyBorder="1" applyAlignment="1">
      <alignment horizontal="center"/>
    </xf>
    <xf numFmtId="0" fontId="26" fillId="0" borderId="25" xfId="0" applyFont="1" applyBorder="1"/>
    <xf numFmtId="0" fontId="26" fillId="5" borderId="55" xfId="0" applyFont="1" applyFill="1" applyBorder="1"/>
    <xf numFmtId="0" fontId="26" fillId="0" borderId="20" xfId="0" applyFont="1" applyBorder="1"/>
    <xf numFmtId="49" fontId="4" fillId="16" borderId="25" xfId="0" applyNumberFormat="1" applyFont="1" applyFill="1" applyBorder="1" applyAlignment="1">
      <alignment horizontal="center"/>
    </xf>
    <xf numFmtId="4" fontId="37" fillId="0" borderId="25" xfId="0" applyNumberFormat="1" applyFont="1" applyBorder="1" applyAlignment="1">
      <alignment horizontal="center"/>
    </xf>
    <xf numFmtId="0" fontId="4" fillId="17" borderId="53" xfId="0" applyFont="1" applyFill="1" applyBorder="1" applyAlignment="1">
      <alignment vertical="top" wrapText="1"/>
    </xf>
    <xf numFmtId="49" fontId="4" fillId="17" borderId="25" xfId="0" applyNumberFormat="1" applyFont="1" applyFill="1" applyBorder="1" applyAlignment="1">
      <alignment horizontal="center"/>
    </xf>
    <xf numFmtId="4" fontId="38" fillId="0" borderId="25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top"/>
    </xf>
    <xf numFmtId="4" fontId="3" fillId="0" borderId="12" xfId="0" applyNumberFormat="1" applyFont="1" applyBorder="1" applyAlignment="1">
      <alignment horizontal="center" vertical="top"/>
    </xf>
    <xf numFmtId="4" fontId="3" fillId="0" borderId="13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</cellXfs>
  <cellStyles count="3">
    <cellStyle name="Обычный" xfId="0" builtinId="0"/>
    <cellStyle name="Обычный_Кузьмичи, Бюджет 2009г-2012, Прил. № 7, 8 Проект 2" xfId="2"/>
    <cellStyle name="Обычный_поправки на 2009г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66"/>
      <color rgb="FFD8FCD0"/>
      <color rgb="FFB4FAA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I41"/>
  <sheetViews>
    <sheetView tabSelected="1" view="pageBreakPreview" topLeftCell="A7" zoomScaleNormal="100" zoomScaleSheetLayoutView="100" workbookViewId="0">
      <selection activeCell="D34" sqref="D34"/>
    </sheetView>
  </sheetViews>
  <sheetFormatPr defaultRowHeight="12.75"/>
  <cols>
    <col min="1" max="1" width="43" customWidth="1"/>
    <col min="2" max="2" width="7" customWidth="1"/>
    <col min="3" max="3" width="21.5703125" customWidth="1"/>
    <col min="4" max="4" width="18.42578125" customWidth="1"/>
    <col min="5" max="5" width="16.5703125" customWidth="1"/>
    <col min="6" max="6" width="14.5703125" customWidth="1"/>
    <col min="7" max="7" width="14.42578125" customWidth="1"/>
    <col min="8" max="8" width="15.42578125" customWidth="1"/>
    <col min="9" max="9" width="14.140625" customWidth="1"/>
  </cols>
  <sheetData>
    <row r="2" spans="1:9" ht="15">
      <c r="A2" s="2"/>
      <c r="B2" s="19" t="s">
        <v>83</v>
      </c>
      <c r="C2" s="7"/>
      <c r="D2" s="69"/>
      <c r="E2" s="69"/>
      <c r="F2" s="69"/>
      <c r="G2" s="69"/>
      <c r="H2" s="70"/>
      <c r="I2" s="71"/>
    </row>
    <row r="3" spans="1:9" ht="13.5" thickBot="1">
      <c r="A3" s="26"/>
      <c r="B3" s="66"/>
      <c r="C3" s="27"/>
      <c r="D3" s="70"/>
      <c r="E3" s="70"/>
      <c r="F3" s="70"/>
      <c r="G3" s="70"/>
      <c r="H3" s="70"/>
      <c r="I3" s="70"/>
    </row>
    <row r="4" spans="1:9" ht="13.5" thickBot="1">
      <c r="A4" s="344"/>
      <c r="B4" s="31"/>
      <c r="C4" s="30"/>
      <c r="D4" s="72" t="s">
        <v>40</v>
      </c>
      <c r="E4" s="576" t="s">
        <v>782</v>
      </c>
      <c r="F4" s="577"/>
      <c r="G4" s="577"/>
      <c r="H4" s="578"/>
      <c r="I4" s="72" t="s">
        <v>773</v>
      </c>
    </row>
    <row r="5" spans="1:9">
      <c r="A5" s="345"/>
      <c r="B5" s="38" t="s">
        <v>49</v>
      </c>
      <c r="C5" s="4" t="s">
        <v>45</v>
      </c>
      <c r="D5" s="73" t="s">
        <v>41</v>
      </c>
      <c r="E5" s="74" t="s">
        <v>783</v>
      </c>
      <c r="F5" s="75" t="s">
        <v>4</v>
      </c>
      <c r="G5" s="76" t="s">
        <v>7</v>
      </c>
      <c r="H5" s="77"/>
      <c r="I5" s="73" t="s">
        <v>774</v>
      </c>
    </row>
    <row r="6" spans="1:9">
      <c r="A6" s="346" t="s">
        <v>776</v>
      </c>
      <c r="B6" s="38" t="s">
        <v>50</v>
      </c>
      <c r="C6" s="4" t="s">
        <v>46</v>
      </c>
      <c r="D6" s="73" t="s">
        <v>42</v>
      </c>
      <c r="E6" s="78" t="s">
        <v>784</v>
      </c>
      <c r="F6" s="73" t="s">
        <v>5</v>
      </c>
      <c r="G6" s="76" t="s">
        <v>8</v>
      </c>
      <c r="H6" s="79" t="s">
        <v>9</v>
      </c>
      <c r="I6" s="73"/>
    </row>
    <row r="7" spans="1:9">
      <c r="A7" s="347"/>
      <c r="B7" s="38" t="s">
        <v>51</v>
      </c>
      <c r="C7" s="4" t="s">
        <v>47</v>
      </c>
      <c r="D7" s="73" t="s">
        <v>44</v>
      </c>
      <c r="E7" s="78" t="s">
        <v>0</v>
      </c>
      <c r="F7" s="73" t="s">
        <v>6</v>
      </c>
      <c r="G7" s="76"/>
      <c r="H7" s="79"/>
      <c r="I7" s="73"/>
    </row>
    <row r="8" spans="1:9">
      <c r="A8" s="347"/>
      <c r="B8" s="38"/>
      <c r="C8" s="4"/>
      <c r="D8" s="73" t="s">
        <v>43</v>
      </c>
      <c r="E8" s="78" t="s">
        <v>1</v>
      </c>
      <c r="F8" s="73"/>
      <c r="G8" s="76"/>
      <c r="H8" s="79"/>
      <c r="I8" s="73"/>
    </row>
    <row r="9" spans="1:9">
      <c r="A9" s="347"/>
      <c r="B9" s="38"/>
      <c r="C9" s="4"/>
      <c r="D9" s="73"/>
      <c r="E9" s="78" t="s">
        <v>2</v>
      </c>
      <c r="F9" s="73"/>
      <c r="G9" s="76"/>
      <c r="H9" s="79"/>
      <c r="I9" s="73"/>
    </row>
    <row r="10" spans="1:9" ht="13.5" thickBot="1">
      <c r="A10" s="348"/>
      <c r="B10" s="41"/>
      <c r="C10" s="40"/>
      <c r="D10" s="80"/>
      <c r="E10" s="81" t="s">
        <v>3</v>
      </c>
      <c r="F10" s="80"/>
      <c r="G10" s="76"/>
      <c r="H10" s="82"/>
      <c r="I10" s="80"/>
    </row>
    <row r="11" spans="1:9" ht="13.5" thickBot="1">
      <c r="A11" s="349">
        <v>1</v>
      </c>
      <c r="B11" s="46">
        <v>2</v>
      </c>
      <c r="C11" s="65">
        <v>3</v>
      </c>
      <c r="D11" s="83" t="s">
        <v>771</v>
      </c>
      <c r="E11" s="83" t="s">
        <v>772</v>
      </c>
      <c r="F11" s="83" t="s">
        <v>10</v>
      </c>
      <c r="G11" s="83" t="s">
        <v>11</v>
      </c>
      <c r="H11" s="83" t="s">
        <v>12</v>
      </c>
      <c r="I11" s="83" t="s">
        <v>32</v>
      </c>
    </row>
    <row r="12" spans="1:9" ht="17.25" customHeight="1" thickBot="1">
      <c r="A12" s="350" t="s">
        <v>53</v>
      </c>
      <c r="B12" s="93" t="s">
        <v>68</v>
      </c>
      <c r="C12" s="360" t="s">
        <v>626</v>
      </c>
      <c r="D12" s="94">
        <f>D14+D25</f>
        <v>16257256.740000002</v>
      </c>
      <c r="E12" s="363">
        <f>E14+E25</f>
        <v>16519295.539999992</v>
      </c>
      <c r="F12" s="94"/>
      <c r="G12" s="94"/>
      <c r="H12" s="361">
        <f>E12</f>
        <v>16519295.539999992</v>
      </c>
      <c r="I12" s="94">
        <f>D12-H12</f>
        <v>-262038.79999998957</v>
      </c>
    </row>
    <row r="13" spans="1:9" ht="13.5" customHeight="1" thickBot="1">
      <c r="A13" s="351" t="s">
        <v>72</v>
      </c>
      <c r="B13" s="57"/>
      <c r="C13" s="55"/>
      <c r="D13" s="63"/>
      <c r="E13" s="62"/>
      <c r="F13" s="63"/>
      <c r="G13" s="63"/>
      <c r="H13" s="364"/>
      <c r="I13" s="101"/>
    </row>
    <row r="14" spans="1:9" ht="14.25" customHeight="1" thickBot="1">
      <c r="A14" s="352" t="s">
        <v>76</v>
      </c>
      <c r="B14" s="95" t="s">
        <v>74</v>
      </c>
      <c r="C14" s="96"/>
      <c r="D14" s="97">
        <f>D19+D16</f>
        <v>0</v>
      </c>
      <c r="E14" s="97">
        <f>E19+E16</f>
        <v>0</v>
      </c>
      <c r="F14" s="97"/>
      <c r="G14" s="97"/>
      <c r="H14" s="362">
        <f>E14</f>
        <v>0</v>
      </c>
      <c r="I14" s="97">
        <f>D14-H14</f>
        <v>0</v>
      </c>
    </row>
    <row r="15" spans="1:9" ht="13.5" thickBot="1">
      <c r="A15" s="351" t="s">
        <v>71</v>
      </c>
      <c r="B15" s="57"/>
      <c r="C15" s="14"/>
      <c r="D15" s="63"/>
      <c r="E15" s="62"/>
      <c r="F15" s="63"/>
      <c r="G15" s="63"/>
      <c r="H15" s="343"/>
      <c r="I15" s="75"/>
    </row>
    <row r="16" spans="1:9" ht="23.25" thickBot="1">
      <c r="A16" s="358" t="s">
        <v>595</v>
      </c>
      <c r="B16" s="64" t="s">
        <v>74</v>
      </c>
      <c r="C16" s="56" t="s">
        <v>597</v>
      </c>
      <c r="D16" s="60">
        <f>D17+D18</f>
        <v>0</v>
      </c>
      <c r="E16" s="60">
        <f>E17+E18</f>
        <v>0</v>
      </c>
      <c r="F16" s="60"/>
      <c r="G16" s="60"/>
      <c r="H16" s="359"/>
      <c r="I16" s="60"/>
    </row>
    <row r="17" spans="1:9" ht="34.5" thickBot="1">
      <c r="A17" s="365" t="s">
        <v>596</v>
      </c>
      <c r="B17" s="57" t="s">
        <v>74</v>
      </c>
      <c r="C17" s="14" t="s">
        <v>600</v>
      </c>
      <c r="D17" s="63"/>
      <c r="E17" s="62"/>
      <c r="F17" s="63"/>
      <c r="G17" s="63"/>
      <c r="H17" s="342"/>
      <c r="I17" s="63"/>
    </row>
    <row r="18" spans="1:9" ht="34.5" thickBot="1">
      <c r="A18" s="366" t="s">
        <v>598</v>
      </c>
      <c r="B18" s="64" t="s">
        <v>74</v>
      </c>
      <c r="C18" s="56" t="s">
        <v>599</v>
      </c>
      <c r="D18" s="60"/>
      <c r="E18" s="59"/>
      <c r="F18" s="60"/>
      <c r="G18" s="60"/>
      <c r="H18" s="359"/>
      <c r="I18" s="60"/>
    </row>
    <row r="19" spans="1:9" ht="14.25" customHeight="1" thickBot="1">
      <c r="A19" s="353" t="s">
        <v>199</v>
      </c>
      <c r="B19" s="100"/>
      <c r="C19" s="56" t="s">
        <v>601</v>
      </c>
      <c r="D19" s="60"/>
      <c r="E19" s="59"/>
      <c r="F19" s="60"/>
      <c r="G19" s="60"/>
      <c r="H19" s="359">
        <f>E19</f>
        <v>0</v>
      </c>
      <c r="I19" s="60">
        <f>D19-H19</f>
        <v>0</v>
      </c>
    </row>
    <row r="20" spans="1:9" ht="14.25" customHeight="1" thickBot="1">
      <c r="A20" s="354" t="s">
        <v>75</v>
      </c>
      <c r="B20" s="64" t="s">
        <v>77</v>
      </c>
      <c r="C20" s="56"/>
      <c r="D20" s="60"/>
      <c r="E20" s="59"/>
      <c r="F20" s="60"/>
      <c r="G20" s="60"/>
      <c r="H20" s="359"/>
      <c r="I20" s="60">
        <f>D20-H20</f>
        <v>0</v>
      </c>
    </row>
    <row r="21" spans="1:9" ht="13.5" thickBot="1">
      <c r="A21" s="351" t="s">
        <v>71</v>
      </c>
      <c r="B21" s="54"/>
      <c r="C21" s="14"/>
      <c r="D21" s="44"/>
      <c r="E21" s="61"/>
      <c r="F21" s="44"/>
      <c r="G21" s="44"/>
      <c r="H21" s="359"/>
      <c r="I21" s="60"/>
    </row>
    <row r="22" spans="1:9" ht="17.25" customHeight="1" thickBot="1">
      <c r="A22" s="355" t="s">
        <v>69</v>
      </c>
      <c r="B22" s="99" t="s">
        <v>70</v>
      </c>
      <c r="C22" s="96" t="s">
        <v>627</v>
      </c>
      <c r="D22" s="97">
        <f>D23-D24</f>
        <v>0</v>
      </c>
      <c r="E22" s="98">
        <f>E23-E24</f>
        <v>-16519295.539999999</v>
      </c>
      <c r="F22" s="97"/>
      <c r="G22" s="97"/>
      <c r="H22" s="362">
        <f t="shared" ref="H22:H28" si="0">E22</f>
        <v>-16519295.539999999</v>
      </c>
      <c r="I22" s="97">
        <f t="shared" ref="I22:I28" si="1">D22-H22</f>
        <v>16519295.539999999</v>
      </c>
    </row>
    <row r="23" spans="1:9" ht="14.25" customHeight="1" thickBot="1">
      <c r="A23" s="351" t="s">
        <v>202</v>
      </c>
      <c r="B23" s="89" t="s">
        <v>197</v>
      </c>
      <c r="C23" s="56" t="s">
        <v>629</v>
      </c>
      <c r="D23" s="63"/>
      <c r="E23" s="59">
        <v>9553677.9100000001</v>
      </c>
      <c r="F23" s="60"/>
      <c r="G23" s="63"/>
      <c r="H23" s="359">
        <f t="shared" si="0"/>
        <v>9553677.9100000001</v>
      </c>
      <c r="I23" s="60">
        <f t="shared" si="1"/>
        <v>-9553677.9100000001</v>
      </c>
    </row>
    <row r="24" spans="1:9" ht="15.75" customHeight="1" thickBot="1">
      <c r="A24" s="354" t="s">
        <v>201</v>
      </c>
      <c r="B24" s="58" t="s">
        <v>198</v>
      </c>
      <c r="C24" s="14" t="s">
        <v>630</v>
      </c>
      <c r="D24" s="60"/>
      <c r="E24" s="62">
        <v>26072973.449999999</v>
      </c>
      <c r="F24" s="60"/>
      <c r="G24" s="60"/>
      <c r="H24" s="359">
        <f t="shared" si="0"/>
        <v>26072973.449999999</v>
      </c>
      <c r="I24" s="60">
        <f t="shared" si="1"/>
        <v>-26072973.449999999</v>
      </c>
    </row>
    <row r="25" spans="1:9" ht="18.75" customHeight="1" thickBot="1">
      <c r="A25" s="355" t="s">
        <v>155</v>
      </c>
      <c r="B25" s="99" t="s">
        <v>156</v>
      </c>
      <c r="C25" s="96"/>
      <c r="D25" s="97">
        <f>D26</f>
        <v>16257256.740000002</v>
      </c>
      <c r="E25" s="98">
        <f>E26</f>
        <v>16519295.539999992</v>
      </c>
      <c r="F25" s="97"/>
      <c r="G25" s="97"/>
      <c r="H25" s="362">
        <f t="shared" si="0"/>
        <v>16519295.539999992</v>
      </c>
      <c r="I25" s="97">
        <f t="shared" si="1"/>
        <v>-262038.79999998957</v>
      </c>
    </row>
    <row r="26" spans="1:9" ht="24" customHeight="1" thickBot="1">
      <c r="A26" s="354" t="s">
        <v>157</v>
      </c>
      <c r="B26" s="64" t="s">
        <v>158</v>
      </c>
      <c r="C26" s="56"/>
      <c r="D26" s="60">
        <f>D27-D28</f>
        <v>16257256.740000002</v>
      </c>
      <c r="E26" s="59">
        <f>E27-E28</f>
        <v>16519295.539999992</v>
      </c>
      <c r="F26" s="60"/>
      <c r="G26" s="60"/>
      <c r="H26" s="359">
        <f t="shared" si="0"/>
        <v>16519295.539999992</v>
      </c>
      <c r="I26" s="60">
        <f t="shared" si="1"/>
        <v>-262038.79999998957</v>
      </c>
    </row>
    <row r="27" spans="1:9" ht="24" customHeight="1" thickBot="1">
      <c r="A27" s="354" t="s">
        <v>159</v>
      </c>
      <c r="B27" s="64" t="s">
        <v>160</v>
      </c>
      <c r="C27" s="56"/>
      <c r="D27" s="60">
        <v>49056915.490000002</v>
      </c>
      <c r="E27" s="59">
        <f>'Доходы на 01.01.25'!D174</f>
        <v>48756303.289999992</v>
      </c>
      <c r="F27" s="60"/>
      <c r="G27" s="60"/>
      <c r="H27" s="359">
        <f t="shared" si="0"/>
        <v>48756303.289999992</v>
      </c>
      <c r="I27" s="60">
        <f t="shared" si="1"/>
        <v>300612.20000001043</v>
      </c>
    </row>
    <row r="28" spans="1:9" ht="22.5" customHeight="1" thickBot="1">
      <c r="A28" s="351" t="s">
        <v>161</v>
      </c>
      <c r="B28" s="57" t="s">
        <v>162</v>
      </c>
      <c r="C28" s="14"/>
      <c r="D28" s="101">
        <v>32799658.75</v>
      </c>
      <c r="E28" s="62">
        <f>'Расходы на 01.01.25'!G13</f>
        <v>32237007.75</v>
      </c>
      <c r="F28" s="63"/>
      <c r="G28" s="63"/>
      <c r="H28" s="364">
        <f t="shared" si="0"/>
        <v>32237007.75</v>
      </c>
      <c r="I28" s="60">
        <f t="shared" si="1"/>
        <v>562651</v>
      </c>
    </row>
    <row r="29" spans="1:9" ht="17.25" customHeight="1" thickBot="1">
      <c r="A29" s="354" t="s">
        <v>163</v>
      </c>
      <c r="B29" s="64" t="s">
        <v>164</v>
      </c>
      <c r="C29" s="56"/>
      <c r="D29" s="60"/>
      <c r="E29" s="59"/>
      <c r="F29" s="60"/>
      <c r="G29" s="60"/>
      <c r="H29" s="359"/>
      <c r="I29" s="60"/>
    </row>
    <row r="30" spans="1:9" ht="21.75" customHeight="1" thickBot="1">
      <c r="A30" s="356" t="s">
        <v>165</v>
      </c>
      <c r="B30" s="64" t="s">
        <v>166</v>
      </c>
      <c r="C30" s="56"/>
      <c r="D30" s="60"/>
      <c r="E30" s="59"/>
      <c r="F30" s="60"/>
      <c r="G30" s="60"/>
      <c r="H30" s="359"/>
      <c r="I30" s="60"/>
    </row>
    <row r="31" spans="1:9" ht="22.5" customHeight="1" thickBot="1">
      <c r="A31" s="357" t="s">
        <v>167</v>
      </c>
      <c r="B31" s="87" t="s">
        <v>168</v>
      </c>
      <c r="C31" s="49"/>
      <c r="D31" s="101"/>
      <c r="E31" s="180"/>
      <c r="F31" s="101"/>
      <c r="G31" s="101"/>
      <c r="H31" s="364"/>
      <c r="I31" s="101"/>
    </row>
    <row r="32" spans="1:9">
      <c r="A32" s="67"/>
      <c r="B32" s="67"/>
      <c r="C32" s="84"/>
      <c r="D32" s="14"/>
      <c r="E32" s="14"/>
      <c r="F32" s="14"/>
      <c r="G32" s="14"/>
      <c r="H32" s="14"/>
      <c r="I32" s="14"/>
    </row>
    <row r="33" spans="1:9" ht="23.25" customHeight="1">
      <c r="A33" s="67" t="s">
        <v>169</v>
      </c>
      <c r="B33" s="579" t="s">
        <v>853</v>
      </c>
      <c r="C33" s="579"/>
      <c r="D33" s="21"/>
      <c r="E33" s="102" t="s">
        <v>59</v>
      </c>
      <c r="F33" s="84"/>
      <c r="G33" s="84"/>
      <c r="H33" s="84"/>
      <c r="I33" s="84"/>
    </row>
    <row r="34" spans="1:9">
      <c r="A34" s="68" t="s">
        <v>170</v>
      </c>
      <c r="B34" s="68"/>
      <c r="C34" s="85"/>
      <c r="D34" s="5"/>
      <c r="E34" s="103" t="s">
        <v>838</v>
      </c>
      <c r="F34" s="103"/>
      <c r="G34" s="103"/>
      <c r="H34" s="103"/>
      <c r="I34" s="103"/>
    </row>
    <row r="35" spans="1:9">
      <c r="A35" s="86"/>
      <c r="B35" s="86"/>
      <c r="C35" s="86"/>
      <c r="D35" s="5"/>
      <c r="E35" s="103"/>
      <c r="F35" s="104" t="s">
        <v>837</v>
      </c>
      <c r="G35" s="105"/>
      <c r="H35" s="103"/>
      <c r="I35" s="103"/>
    </row>
    <row r="36" spans="1:9">
      <c r="A36" s="68" t="s">
        <v>839</v>
      </c>
      <c r="B36" s="68"/>
      <c r="C36" s="85"/>
      <c r="D36" s="5"/>
      <c r="E36" s="5"/>
      <c r="F36" s="5"/>
      <c r="G36" s="5"/>
      <c r="H36" s="5"/>
      <c r="I36" s="5"/>
    </row>
    <row r="37" spans="1:9">
      <c r="A37" s="68" t="s">
        <v>765</v>
      </c>
      <c r="B37" s="68"/>
      <c r="C37" s="85"/>
      <c r="D37" s="12"/>
      <c r="E37" s="12"/>
      <c r="F37" s="12"/>
      <c r="G37" s="12"/>
      <c r="H37" s="12"/>
      <c r="I37" s="5"/>
    </row>
    <row r="38" spans="1:9">
      <c r="A38" s="7"/>
      <c r="B38" s="7"/>
      <c r="C38" s="20"/>
      <c r="D38" s="5" t="s">
        <v>80</v>
      </c>
      <c r="E38" s="1"/>
      <c r="F38" s="5"/>
      <c r="G38" s="5"/>
      <c r="H38" s="5"/>
      <c r="I38" s="17"/>
    </row>
    <row r="39" spans="1:9">
      <c r="A39" s="68" t="s">
        <v>1048</v>
      </c>
      <c r="B39" s="2"/>
      <c r="C39" s="2"/>
      <c r="D39" s="16" t="s">
        <v>81</v>
      </c>
      <c r="E39" s="5"/>
      <c r="F39" s="5"/>
      <c r="G39" s="5"/>
      <c r="H39" s="5"/>
      <c r="I39" s="18"/>
    </row>
    <row r="40" spans="1:9">
      <c r="A40" s="86"/>
      <c r="B40" s="2"/>
      <c r="C40" s="2"/>
      <c r="D40" s="16" t="s">
        <v>82</v>
      </c>
      <c r="E40" s="5"/>
      <c r="F40" s="5"/>
      <c r="G40" s="5"/>
      <c r="H40" s="5"/>
      <c r="I40" s="18"/>
    </row>
    <row r="41" spans="1:9">
      <c r="A41" s="10" t="s">
        <v>701</v>
      </c>
      <c r="B41" s="10"/>
      <c r="C41" s="4"/>
      <c r="D41" s="23"/>
      <c r="E41" s="24"/>
      <c r="F41" s="24"/>
      <c r="G41" s="24"/>
      <c r="H41" s="24"/>
      <c r="I41" s="25"/>
    </row>
  </sheetData>
  <mergeCells count="2">
    <mergeCell ref="E4:H4"/>
    <mergeCell ref="B33:C33"/>
  </mergeCells>
  <phoneticPr fontId="4" type="noConversion"/>
  <pageMargins left="0.56999999999999995" right="0.28999999999999998" top="0.19" bottom="0.23" header="0.39" footer="0.19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I174"/>
  <sheetViews>
    <sheetView view="pageBreakPreview" topLeftCell="A110" zoomScaleNormal="100" zoomScaleSheetLayoutView="100" workbookViewId="0">
      <selection activeCell="D127" sqref="D127"/>
    </sheetView>
  </sheetViews>
  <sheetFormatPr defaultRowHeight="12.75"/>
  <cols>
    <col min="1" max="1" width="68.85546875" customWidth="1"/>
    <col min="2" max="2" width="20.85546875" customWidth="1"/>
    <col min="3" max="3" width="20.140625" customWidth="1"/>
    <col min="4" max="4" width="20.42578125" customWidth="1"/>
    <col min="5" max="5" width="7.140625" customWidth="1"/>
    <col min="6" max="6" width="7.42578125" customWidth="1"/>
    <col min="7" max="7" width="18.140625" customWidth="1"/>
    <col min="8" max="8" width="17.140625" customWidth="1"/>
    <col min="9" max="9" width="11" style="417" customWidth="1"/>
  </cols>
  <sheetData>
    <row r="1" spans="1:8" ht="0.75" customHeight="1">
      <c r="A1" s="582" t="s">
        <v>770</v>
      </c>
      <c r="B1" s="582"/>
      <c r="C1" s="582"/>
      <c r="D1" s="582"/>
    </row>
    <row r="2" spans="1:8" ht="15" customHeight="1">
      <c r="A2" s="582"/>
      <c r="B2" s="582"/>
      <c r="C2" s="582"/>
      <c r="D2" s="582"/>
      <c r="E2" s="8"/>
      <c r="F2" s="8"/>
      <c r="G2" s="8"/>
      <c r="H2" s="8"/>
    </row>
    <row r="3" spans="1:8" ht="15.75" thickBot="1">
      <c r="A3" s="22" t="s">
        <v>67</v>
      </c>
      <c r="B3" s="2"/>
      <c r="C3" s="2"/>
      <c r="D3" s="1"/>
      <c r="E3" s="8"/>
      <c r="F3" s="8"/>
      <c r="G3" s="8"/>
      <c r="H3" s="15" t="s">
        <v>775</v>
      </c>
    </row>
    <row r="4" spans="1:8" ht="13.5" thickBot="1">
      <c r="A4" s="7"/>
      <c r="B4" s="7"/>
      <c r="C4" s="7"/>
      <c r="D4" s="3"/>
      <c r="E4" s="3"/>
      <c r="F4" s="3"/>
      <c r="G4" s="6" t="s">
        <v>61</v>
      </c>
      <c r="H4" s="88" t="s">
        <v>704</v>
      </c>
    </row>
    <row r="5" spans="1:8">
      <c r="A5" s="90"/>
      <c r="B5" s="90"/>
      <c r="C5" s="90"/>
      <c r="D5" s="90"/>
      <c r="E5" s="90"/>
      <c r="F5" s="90"/>
      <c r="G5" s="7" t="s">
        <v>56</v>
      </c>
      <c r="H5" s="9" t="s">
        <v>1047</v>
      </c>
    </row>
    <row r="6" spans="1:8">
      <c r="A6" s="7" t="s">
        <v>93</v>
      </c>
      <c r="B6" s="580" t="s">
        <v>749</v>
      </c>
      <c r="C6" s="580"/>
      <c r="D6" s="580"/>
      <c r="E6" s="580"/>
      <c r="F6" s="580"/>
      <c r="G6" s="7" t="s">
        <v>54</v>
      </c>
      <c r="H6" s="9" t="s">
        <v>189</v>
      </c>
    </row>
    <row r="7" spans="1:8">
      <c r="A7" s="7" t="s">
        <v>94</v>
      </c>
      <c r="B7" s="7"/>
      <c r="C7" s="7"/>
      <c r="D7" s="6"/>
      <c r="E7" s="6"/>
      <c r="F7" s="6"/>
      <c r="G7" s="187" t="s">
        <v>64</v>
      </c>
      <c r="H7" s="9" t="s">
        <v>65</v>
      </c>
    </row>
    <row r="8" spans="1:8">
      <c r="A8" s="7" t="s">
        <v>95</v>
      </c>
      <c r="B8" s="7" t="s">
        <v>1046</v>
      </c>
      <c r="C8" s="7"/>
      <c r="D8" s="6"/>
      <c r="E8" s="6"/>
      <c r="F8" s="6"/>
      <c r="G8" s="187" t="s">
        <v>66</v>
      </c>
      <c r="H8" s="188"/>
    </row>
    <row r="9" spans="1:8" ht="13.5" thickBot="1">
      <c r="A9" s="7" t="s">
        <v>769</v>
      </c>
      <c r="B9" s="7"/>
      <c r="C9" s="7"/>
      <c r="D9" s="6"/>
      <c r="E9" s="6"/>
      <c r="F9" s="6"/>
      <c r="G9" s="187" t="s">
        <v>55</v>
      </c>
      <c r="H9" s="189" t="s">
        <v>63</v>
      </c>
    </row>
    <row r="10" spans="1:8" ht="12.75" customHeight="1">
      <c r="A10" s="2"/>
      <c r="B10" s="581" t="s">
        <v>281</v>
      </c>
      <c r="C10" s="581"/>
      <c r="D10" s="581"/>
      <c r="E10" s="6"/>
      <c r="F10" s="6"/>
      <c r="G10" s="6"/>
      <c r="H10" s="6"/>
    </row>
    <row r="11" spans="1:8" ht="13.5" thickBot="1">
      <c r="A11" s="26"/>
      <c r="B11" s="26"/>
      <c r="C11" s="27"/>
      <c r="D11" s="28"/>
      <c r="E11" s="28"/>
      <c r="F11" s="28"/>
      <c r="G11" s="28"/>
      <c r="H11" s="28"/>
    </row>
    <row r="12" spans="1:8" ht="13.5" thickBot="1">
      <c r="A12" s="344"/>
      <c r="B12" s="31"/>
      <c r="C12" s="37" t="s">
        <v>781</v>
      </c>
      <c r="D12" s="33"/>
      <c r="E12" s="34" t="s">
        <v>782</v>
      </c>
      <c r="F12" s="35"/>
      <c r="G12" s="36"/>
      <c r="H12" s="37" t="s">
        <v>773</v>
      </c>
    </row>
    <row r="13" spans="1:8">
      <c r="A13" s="346" t="s">
        <v>776</v>
      </c>
      <c r="B13" s="38"/>
      <c r="C13" s="39" t="s">
        <v>777</v>
      </c>
      <c r="D13" s="37" t="s">
        <v>278</v>
      </c>
      <c r="E13" s="106" t="s">
        <v>4</v>
      </c>
      <c r="F13" s="37" t="s">
        <v>7</v>
      </c>
      <c r="G13" s="11"/>
      <c r="H13" s="39" t="s">
        <v>774</v>
      </c>
    </row>
    <row r="14" spans="1:8">
      <c r="A14" s="347"/>
      <c r="B14" s="38" t="s">
        <v>779</v>
      </c>
      <c r="C14" s="39" t="s">
        <v>13</v>
      </c>
      <c r="D14" s="39" t="s">
        <v>62</v>
      </c>
      <c r="E14" s="107" t="s">
        <v>5</v>
      </c>
      <c r="F14" s="39" t="s">
        <v>8</v>
      </c>
      <c r="G14" s="11" t="s">
        <v>9</v>
      </c>
      <c r="H14" s="39"/>
    </row>
    <row r="15" spans="1:8">
      <c r="A15" s="347"/>
      <c r="B15" s="38"/>
      <c r="C15" s="39" t="s">
        <v>18</v>
      </c>
      <c r="D15" s="39" t="s">
        <v>279</v>
      </c>
      <c r="E15" s="107" t="s">
        <v>6</v>
      </c>
      <c r="F15" s="39"/>
      <c r="G15" s="11"/>
      <c r="H15" s="39"/>
    </row>
    <row r="16" spans="1:8" ht="13.5" thickBot="1">
      <c r="A16" s="347"/>
      <c r="B16" s="38"/>
      <c r="C16" s="39" t="s">
        <v>1014</v>
      </c>
      <c r="D16" s="39" t="s">
        <v>280</v>
      </c>
      <c r="E16" s="11"/>
      <c r="F16" s="39"/>
      <c r="G16" s="11"/>
      <c r="H16" s="39"/>
    </row>
    <row r="17" spans="1:9" ht="13.5" thickBot="1">
      <c r="A17" s="274">
        <v>1</v>
      </c>
      <c r="B17" s="275">
        <v>2</v>
      </c>
      <c r="C17" s="276" t="s">
        <v>677</v>
      </c>
      <c r="D17" s="277" t="s">
        <v>771</v>
      </c>
      <c r="E17" s="276" t="s">
        <v>772</v>
      </c>
      <c r="F17" s="283" t="s">
        <v>10</v>
      </c>
      <c r="G17" s="277" t="s">
        <v>11</v>
      </c>
      <c r="H17" s="290" t="s">
        <v>12</v>
      </c>
    </row>
    <row r="18" spans="1:9" ht="18.75" customHeight="1">
      <c r="A18" s="505" t="s">
        <v>610</v>
      </c>
      <c r="B18" s="531" t="s">
        <v>89</v>
      </c>
      <c r="C18" s="244">
        <f>C19+C47+C55+C90+C99+C83+C118+C113+C109+C41+C127+C111</f>
        <v>41704369.519999996</v>
      </c>
      <c r="D18" s="371">
        <f>D19+D41+D47+D55+D83+D99+D109+D118+D127+D90+D113+D111</f>
        <v>42215108.629999995</v>
      </c>
      <c r="E18" s="381"/>
      <c r="F18" s="382"/>
      <c r="G18" s="282">
        <f>D18</f>
        <v>42215108.629999995</v>
      </c>
      <c r="H18" s="291">
        <f>C18-D18</f>
        <v>-510739.1099999994</v>
      </c>
      <c r="I18" s="417">
        <f>D18/C18*100</f>
        <v>101.22466570260717</v>
      </c>
    </row>
    <row r="19" spans="1:9" ht="17.25" customHeight="1">
      <c r="A19" s="506" t="s">
        <v>97</v>
      </c>
      <c r="B19" s="532" t="s">
        <v>203</v>
      </c>
      <c r="C19" s="245">
        <f>C20</f>
        <v>18503553</v>
      </c>
      <c r="D19" s="245">
        <f>D20</f>
        <v>18965156.120000001</v>
      </c>
      <c r="E19" s="383"/>
      <c r="F19" s="384"/>
      <c r="G19" s="261">
        <f t="shared" ref="G19:G108" si="0">D19</f>
        <v>18965156.120000001</v>
      </c>
      <c r="H19" s="292">
        <f t="shared" ref="H19:H108" si="1">C19-D19</f>
        <v>-461603.12000000104</v>
      </c>
      <c r="I19" s="418">
        <f t="shared" ref="I19:I88" si="2">D19/C19*100</f>
        <v>102.49467288795833</v>
      </c>
    </row>
    <row r="20" spans="1:9" ht="17.25" customHeight="1">
      <c r="A20" s="507" t="s">
        <v>611</v>
      </c>
      <c r="B20" s="533" t="s">
        <v>98</v>
      </c>
      <c r="C20" s="246">
        <f>C21+C30+C35+C26+C37+C39</f>
        <v>18503553</v>
      </c>
      <c r="D20" s="246">
        <f>D21+D30+D35+D26+D37+D39</f>
        <v>18965156.120000001</v>
      </c>
      <c r="E20" s="383"/>
      <c r="F20" s="384"/>
      <c r="G20" s="262">
        <f t="shared" si="0"/>
        <v>18965156.120000001</v>
      </c>
      <c r="H20" s="293">
        <f t="shared" si="1"/>
        <v>-461603.12000000104</v>
      </c>
      <c r="I20" s="417">
        <f t="shared" si="2"/>
        <v>102.49467288795833</v>
      </c>
    </row>
    <row r="21" spans="1:9" ht="35.25" customHeight="1">
      <c r="A21" s="415" t="s">
        <v>178</v>
      </c>
      <c r="B21" s="534" t="s">
        <v>190</v>
      </c>
      <c r="C21" s="247">
        <f>C22+C23+C24</f>
        <v>12720153</v>
      </c>
      <c r="D21" s="247">
        <f>D22+D23+D24+D25</f>
        <v>13181437.779999999</v>
      </c>
      <c r="E21" s="383"/>
      <c r="F21" s="384"/>
      <c r="G21" s="263">
        <f t="shared" si="0"/>
        <v>13181437.779999999</v>
      </c>
      <c r="H21" s="294">
        <f t="shared" si="1"/>
        <v>-461284.77999999933</v>
      </c>
      <c r="I21" s="417">
        <f t="shared" si="2"/>
        <v>103.62640905341311</v>
      </c>
    </row>
    <row r="22" spans="1:9" ht="24" customHeight="1">
      <c r="A22" s="404" t="s">
        <v>282</v>
      </c>
      <c r="B22" s="403" t="s">
        <v>204</v>
      </c>
      <c r="C22" s="248">
        <v>12720153</v>
      </c>
      <c r="D22" s="248">
        <v>13181437.779999999</v>
      </c>
      <c r="E22" s="383"/>
      <c r="F22" s="384"/>
      <c r="G22" s="264">
        <f t="shared" si="0"/>
        <v>13181437.779999999</v>
      </c>
      <c r="H22" s="295">
        <f t="shared" si="1"/>
        <v>-461284.77999999933</v>
      </c>
      <c r="I22" s="417">
        <f t="shared" si="2"/>
        <v>103.62640905341311</v>
      </c>
    </row>
    <row r="23" spans="1:9" ht="24.6" hidden="1" customHeight="1">
      <c r="A23" s="404" t="s">
        <v>284</v>
      </c>
      <c r="B23" s="403" t="s">
        <v>205</v>
      </c>
      <c r="C23" s="248">
        <v>0</v>
      </c>
      <c r="D23" s="248"/>
      <c r="E23" s="385"/>
      <c r="F23" s="386"/>
      <c r="G23" s="264">
        <f t="shared" si="0"/>
        <v>0</v>
      </c>
      <c r="H23" s="295">
        <f t="shared" si="1"/>
        <v>0</v>
      </c>
      <c r="I23" s="417" t="e">
        <f t="shared" si="2"/>
        <v>#DIV/0!</v>
      </c>
    </row>
    <row r="24" spans="1:9" ht="24.6" hidden="1" customHeight="1">
      <c r="A24" s="404" t="s">
        <v>678</v>
      </c>
      <c r="B24" s="403" t="s">
        <v>206</v>
      </c>
      <c r="C24" s="248">
        <v>0</v>
      </c>
      <c r="D24" s="248"/>
      <c r="E24" s="385"/>
      <c r="F24" s="386"/>
      <c r="G24" s="264">
        <f t="shared" si="0"/>
        <v>0</v>
      </c>
      <c r="H24" s="295">
        <f t="shared" si="1"/>
        <v>0</v>
      </c>
      <c r="I24" s="417" t="e">
        <f t="shared" si="2"/>
        <v>#DIV/0!</v>
      </c>
    </row>
    <row r="25" spans="1:9" ht="21" hidden="1" customHeight="1">
      <c r="A25" s="404" t="s">
        <v>678</v>
      </c>
      <c r="B25" s="535" t="s">
        <v>366</v>
      </c>
      <c r="C25" s="248">
        <v>0</v>
      </c>
      <c r="D25" s="248">
        <v>0</v>
      </c>
      <c r="E25" s="385"/>
      <c r="F25" s="386"/>
      <c r="G25" s="264">
        <f t="shared" si="0"/>
        <v>0</v>
      </c>
      <c r="H25" s="295">
        <f t="shared" si="1"/>
        <v>0</v>
      </c>
    </row>
    <row r="26" spans="1:9" ht="36" customHeight="1">
      <c r="A26" s="415" t="s">
        <v>102</v>
      </c>
      <c r="B26" s="536" t="s">
        <v>181</v>
      </c>
      <c r="C26" s="249">
        <f>C27+C28+C29</f>
        <v>150000</v>
      </c>
      <c r="D26" s="249">
        <f>D27+D28+D29</f>
        <v>133239.45000000001</v>
      </c>
      <c r="E26" s="383"/>
      <c r="F26" s="384"/>
      <c r="G26" s="263">
        <f>D26</f>
        <v>133239.45000000001</v>
      </c>
      <c r="H26" s="294">
        <f>C26-D26</f>
        <v>16760.549999999988</v>
      </c>
      <c r="I26" s="417">
        <f t="shared" si="2"/>
        <v>88.826300000000003</v>
      </c>
    </row>
    <row r="27" spans="1:9" ht="24.75" customHeight="1">
      <c r="A27" s="408" t="s">
        <v>112</v>
      </c>
      <c r="B27" s="537" t="s">
        <v>182</v>
      </c>
      <c r="C27" s="248">
        <v>150000</v>
      </c>
      <c r="D27" s="248">
        <v>133239.45000000001</v>
      </c>
      <c r="E27" s="385"/>
      <c r="F27" s="386"/>
      <c r="G27" s="264">
        <f>D27</f>
        <v>133239.45000000001</v>
      </c>
      <c r="H27" s="295">
        <f>C27-D27</f>
        <v>16760.549999999988</v>
      </c>
      <c r="I27" s="417">
        <f t="shared" si="2"/>
        <v>88.826300000000003</v>
      </c>
    </row>
    <row r="28" spans="1:9" ht="17.25" hidden="1" customHeight="1">
      <c r="A28" s="408" t="s">
        <v>113</v>
      </c>
      <c r="B28" s="537" t="s">
        <v>183</v>
      </c>
      <c r="C28" s="248">
        <v>0</v>
      </c>
      <c r="D28" s="248">
        <v>0</v>
      </c>
      <c r="E28" s="385"/>
      <c r="F28" s="386"/>
      <c r="G28" s="264">
        <f>D28</f>
        <v>0</v>
      </c>
      <c r="H28" s="295">
        <f>C28-D28</f>
        <v>0</v>
      </c>
      <c r="I28" s="417" t="e">
        <f t="shared" si="2"/>
        <v>#DIV/0!</v>
      </c>
    </row>
    <row r="29" spans="1:9" ht="15" hidden="1" customHeight="1">
      <c r="A29" s="408" t="s">
        <v>113</v>
      </c>
      <c r="B29" s="537" t="s">
        <v>114</v>
      </c>
      <c r="C29" s="248">
        <v>0</v>
      </c>
      <c r="D29" s="248">
        <v>0</v>
      </c>
      <c r="E29" s="385"/>
      <c r="F29" s="386"/>
      <c r="G29" s="264">
        <f>D29</f>
        <v>0</v>
      </c>
      <c r="H29" s="295">
        <f>C29-D29</f>
        <v>0</v>
      </c>
      <c r="I29" s="417" t="e">
        <f t="shared" si="2"/>
        <v>#DIV/0!</v>
      </c>
    </row>
    <row r="30" spans="1:9" ht="27" customHeight="1">
      <c r="A30" s="415" t="s">
        <v>285</v>
      </c>
      <c r="B30" s="536" t="s">
        <v>207</v>
      </c>
      <c r="C30" s="249">
        <f>C31+C32+C33</f>
        <v>50000</v>
      </c>
      <c r="D30" s="249">
        <f>D31+D32+D33+D34</f>
        <v>50443.149999999994</v>
      </c>
      <c r="E30" s="383"/>
      <c r="F30" s="384"/>
      <c r="G30" s="263">
        <f t="shared" si="0"/>
        <v>50443.149999999994</v>
      </c>
      <c r="H30" s="294">
        <f t="shared" si="1"/>
        <v>-443.14999999999418</v>
      </c>
      <c r="I30" s="417">
        <f t="shared" si="2"/>
        <v>100.88629999999998</v>
      </c>
    </row>
    <row r="31" spans="1:9" ht="23.45" customHeight="1">
      <c r="A31" s="408" t="s">
        <v>286</v>
      </c>
      <c r="B31" s="537" t="s">
        <v>208</v>
      </c>
      <c r="C31" s="248">
        <v>50000</v>
      </c>
      <c r="D31" s="248">
        <v>50292.63</v>
      </c>
      <c r="E31" s="385"/>
      <c r="F31" s="386"/>
      <c r="G31" s="264">
        <f t="shared" si="0"/>
        <v>50292.63</v>
      </c>
      <c r="H31" s="295">
        <f t="shared" si="1"/>
        <v>-292.62999999999738</v>
      </c>
      <c r="I31" s="417">
        <f t="shared" si="2"/>
        <v>100.58525999999999</v>
      </c>
    </row>
    <row r="32" spans="1:9" ht="24.6" hidden="1" customHeight="1">
      <c r="A32" s="408" t="s">
        <v>287</v>
      </c>
      <c r="B32" s="537" t="s">
        <v>209</v>
      </c>
      <c r="C32" s="248">
        <v>0</v>
      </c>
      <c r="D32" s="248"/>
      <c r="E32" s="385"/>
      <c r="F32" s="386"/>
      <c r="G32" s="264">
        <f t="shared" si="0"/>
        <v>0</v>
      </c>
      <c r="H32" s="295">
        <f t="shared" si="1"/>
        <v>0</v>
      </c>
      <c r="I32" s="417" t="e">
        <f t="shared" si="2"/>
        <v>#DIV/0!</v>
      </c>
    </row>
    <row r="33" spans="1:9" ht="24.95" customHeight="1">
      <c r="A33" s="408" t="s">
        <v>287</v>
      </c>
      <c r="B33" s="537" t="s">
        <v>636</v>
      </c>
      <c r="C33" s="248">
        <v>0</v>
      </c>
      <c r="D33" s="248">
        <v>150.52000000000001</v>
      </c>
      <c r="E33" s="385"/>
      <c r="F33" s="386"/>
      <c r="G33" s="264">
        <f t="shared" si="0"/>
        <v>150.52000000000001</v>
      </c>
      <c r="H33" s="295">
        <f t="shared" si="1"/>
        <v>-150.52000000000001</v>
      </c>
      <c r="I33" s="417" t="e">
        <f t="shared" si="2"/>
        <v>#DIV/0!</v>
      </c>
    </row>
    <row r="34" spans="1:9" ht="27" hidden="1" customHeight="1">
      <c r="A34" s="408" t="s">
        <v>424</v>
      </c>
      <c r="B34" s="537" t="s">
        <v>423</v>
      </c>
      <c r="C34" s="248">
        <v>0</v>
      </c>
      <c r="D34" s="248"/>
      <c r="E34" s="385"/>
      <c r="F34" s="386"/>
      <c r="G34" s="264">
        <f>D34</f>
        <v>0</v>
      </c>
      <c r="H34" s="295">
        <f>C34-D34</f>
        <v>0</v>
      </c>
      <c r="I34" s="417" t="e">
        <f>D34/C34*100</f>
        <v>#DIV/0!</v>
      </c>
    </row>
    <row r="35" spans="1:9" ht="26.25" customHeight="1">
      <c r="A35" s="415" t="s">
        <v>288</v>
      </c>
      <c r="B35" s="536" t="s">
        <v>191</v>
      </c>
      <c r="C35" s="249">
        <f>C36</f>
        <v>5500000</v>
      </c>
      <c r="D35" s="249">
        <f>D36</f>
        <v>5517879.5999999996</v>
      </c>
      <c r="E35" s="385"/>
      <c r="F35" s="386"/>
      <c r="G35" s="263">
        <f t="shared" si="0"/>
        <v>5517879.5999999996</v>
      </c>
      <c r="H35" s="294">
        <f t="shared" si="1"/>
        <v>-17879.599999999627</v>
      </c>
      <c r="I35" s="417">
        <f t="shared" si="2"/>
        <v>100.32508363636363</v>
      </c>
    </row>
    <row r="36" spans="1:9" ht="24" customHeight="1">
      <c r="A36" s="508" t="s">
        <v>288</v>
      </c>
      <c r="B36" s="537" t="s">
        <v>210</v>
      </c>
      <c r="C36" s="248">
        <v>5500000</v>
      </c>
      <c r="D36" s="248">
        <v>5517879.5999999996</v>
      </c>
      <c r="E36" s="383"/>
      <c r="F36" s="384"/>
      <c r="G36" s="264">
        <f t="shared" si="0"/>
        <v>5517879.5999999996</v>
      </c>
      <c r="H36" s="295">
        <f t="shared" si="1"/>
        <v>-17879.599999999627</v>
      </c>
      <c r="I36" s="417">
        <f t="shared" si="2"/>
        <v>100.32508363636363</v>
      </c>
    </row>
    <row r="37" spans="1:9" ht="39" customHeight="1">
      <c r="A37" s="415" t="s">
        <v>991</v>
      </c>
      <c r="B37" s="536" t="s">
        <v>986</v>
      </c>
      <c r="C37" s="249">
        <f>C38</f>
        <v>79500</v>
      </c>
      <c r="D37" s="249">
        <f>D38</f>
        <v>78256.14</v>
      </c>
      <c r="E37" s="385"/>
      <c r="F37" s="386"/>
      <c r="G37" s="263">
        <f t="shared" ref="G37:G40" si="3">D37</f>
        <v>78256.14</v>
      </c>
      <c r="H37" s="294">
        <f t="shared" ref="H37:H40" si="4">C37-D37</f>
        <v>1243.8600000000006</v>
      </c>
      <c r="I37" s="417">
        <f t="shared" ref="I37:I40" si="5">D37/C37*100</f>
        <v>98.435396226415094</v>
      </c>
    </row>
    <row r="38" spans="1:9" ht="48.95" customHeight="1">
      <c r="A38" s="508" t="s">
        <v>989</v>
      </c>
      <c r="B38" s="537" t="s">
        <v>985</v>
      </c>
      <c r="C38" s="248">
        <v>79500</v>
      </c>
      <c r="D38" s="248">
        <v>78256.14</v>
      </c>
      <c r="E38" s="383"/>
      <c r="F38" s="384"/>
      <c r="G38" s="264">
        <f t="shared" si="3"/>
        <v>78256.14</v>
      </c>
      <c r="H38" s="295">
        <f t="shared" si="4"/>
        <v>1243.8600000000006</v>
      </c>
      <c r="I38" s="417">
        <f t="shared" si="5"/>
        <v>98.435396226415094</v>
      </c>
    </row>
    <row r="39" spans="1:9" ht="24.95" customHeight="1">
      <c r="A39" s="415" t="s">
        <v>992</v>
      </c>
      <c r="B39" s="536" t="s">
        <v>987</v>
      </c>
      <c r="C39" s="249">
        <f>C40</f>
        <v>3900</v>
      </c>
      <c r="D39" s="249">
        <f>D40</f>
        <v>3900</v>
      </c>
      <c r="E39" s="385"/>
      <c r="F39" s="386"/>
      <c r="G39" s="263">
        <f t="shared" si="3"/>
        <v>3900</v>
      </c>
      <c r="H39" s="294">
        <f t="shared" si="4"/>
        <v>0</v>
      </c>
      <c r="I39" s="417">
        <f t="shared" si="5"/>
        <v>100</v>
      </c>
    </row>
    <row r="40" spans="1:9" ht="46.5" customHeight="1">
      <c r="A40" s="508" t="s">
        <v>990</v>
      </c>
      <c r="B40" s="537" t="s">
        <v>988</v>
      </c>
      <c r="C40" s="248">
        <v>3900</v>
      </c>
      <c r="D40" s="248">
        <v>3900</v>
      </c>
      <c r="E40" s="383"/>
      <c r="F40" s="384"/>
      <c r="G40" s="264">
        <f t="shared" si="3"/>
        <v>3900</v>
      </c>
      <c r="H40" s="295">
        <f t="shared" si="4"/>
        <v>0</v>
      </c>
      <c r="I40" s="417">
        <f t="shared" si="5"/>
        <v>100</v>
      </c>
    </row>
    <row r="41" spans="1:9" ht="25.5" customHeight="1">
      <c r="A41" s="278" t="s">
        <v>289</v>
      </c>
      <c r="B41" s="406" t="s">
        <v>211</v>
      </c>
      <c r="C41" s="252">
        <f>C42</f>
        <v>1258869</v>
      </c>
      <c r="D41" s="252">
        <f>D42</f>
        <v>1264945.93</v>
      </c>
      <c r="E41" s="383"/>
      <c r="F41" s="384"/>
      <c r="G41" s="261">
        <f t="shared" si="0"/>
        <v>1264945.93</v>
      </c>
      <c r="H41" s="292">
        <f t="shared" si="1"/>
        <v>-6076.9299999999348</v>
      </c>
      <c r="I41" s="418">
        <f t="shared" si="2"/>
        <v>100.48272933879538</v>
      </c>
    </row>
    <row r="42" spans="1:9" ht="27" customHeight="1">
      <c r="A42" s="509" t="s">
        <v>290</v>
      </c>
      <c r="B42" s="538" t="s">
        <v>212</v>
      </c>
      <c r="C42" s="250">
        <f>C43+C44+C45+C46</f>
        <v>1258869</v>
      </c>
      <c r="D42" s="250">
        <f>D43+D44+D45+D46</f>
        <v>1264945.93</v>
      </c>
      <c r="E42" s="385"/>
      <c r="F42" s="386"/>
      <c r="G42" s="262">
        <f t="shared" si="0"/>
        <v>1264945.93</v>
      </c>
      <c r="H42" s="293">
        <f t="shared" si="1"/>
        <v>-6076.9299999999348</v>
      </c>
      <c r="I42" s="417">
        <f t="shared" si="2"/>
        <v>100.48272933879538</v>
      </c>
    </row>
    <row r="43" spans="1:9" ht="27" customHeight="1">
      <c r="A43" s="408" t="s">
        <v>293</v>
      </c>
      <c r="B43" s="405" t="s">
        <v>213</v>
      </c>
      <c r="C43" s="251">
        <v>651669</v>
      </c>
      <c r="D43" s="566">
        <v>653516.22</v>
      </c>
      <c r="E43" s="385"/>
      <c r="F43" s="386"/>
      <c r="G43" s="265">
        <f t="shared" si="0"/>
        <v>653516.22</v>
      </c>
      <c r="H43" s="296">
        <f t="shared" si="1"/>
        <v>-1847.2199999999721</v>
      </c>
      <c r="I43" s="417">
        <f t="shared" si="2"/>
        <v>100.28345985461944</v>
      </c>
    </row>
    <row r="44" spans="1:9" ht="27" customHeight="1">
      <c r="A44" s="408" t="s">
        <v>294</v>
      </c>
      <c r="B44" s="405" t="s">
        <v>214</v>
      </c>
      <c r="C44" s="248">
        <v>3200</v>
      </c>
      <c r="D44" s="566">
        <v>3775.96</v>
      </c>
      <c r="E44" s="385"/>
      <c r="F44" s="386"/>
      <c r="G44" s="264">
        <f t="shared" si="0"/>
        <v>3775.96</v>
      </c>
      <c r="H44" s="295">
        <f t="shared" si="1"/>
        <v>-575.96</v>
      </c>
      <c r="I44" s="417">
        <f t="shared" si="2"/>
        <v>117.99875</v>
      </c>
    </row>
    <row r="45" spans="1:9" ht="28.5" customHeight="1">
      <c r="A45" s="408" t="s">
        <v>295</v>
      </c>
      <c r="B45" s="405" t="s">
        <v>215</v>
      </c>
      <c r="C45" s="248">
        <v>604000</v>
      </c>
      <c r="D45" s="566">
        <v>678788.14</v>
      </c>
      <c r="E45" s="385"/>
      <c r="F45" s="386"/>
      <c r="G45" s="264">
        <f t="shared" si="0"/>
        <v>678788.14</v>
      </c>
      <c r="H45" s="295">
        <f t="shared" si="1"/>
        <v>-74788.140000000014</v>
      </c>
      <c r="I45" s="417">
        <f t="shared" si="2"/>
        <v>112.38214238410595</v>
      </c>
    </row>
    <row r="46" spans="1:9" ht="27.75" customHeight="1">
      <c r="A46" s="408" t="s">
        <v>296</v>
      </c>
      <c r="B46" s="405" t="s">
        <v>220</v>
      </c>
      <c r="C46" s="248"/>
      <c r="D46" s="566">
        <v>-71134.39</v>
      </c>
      <c r="E46" s="385"/>
      <c r="F46" s="386"/>
      <c r="G46" s="264">
        <f t="shared" si="0"/>
        <v>-71134.39</v>
      </c>
      <c r="H46" s="295">
        <f t="shared" si="1"/>
        <v>71134.39</v>
      </c>
      <c r="I46" s="417" t="e">
        <f t="shared" si="2"/>
        <v>#DIV/0!</v>
      </c>
    </row>
    <row r="47" spans="1:9" ht="18" customHeight="1">
      <c r="A47" s="510" t="s">
        <v>612</v>
      </c>
      <c r="B47" s="539" t="s">
        <v>99</v>
      </c>
      <c r="C47" s="252">
        <f>C48</f>
        <v>1404420</v>
      </c>
      <c r="D47" s="252">
        <f>D48</f>
        <v>1404419.4</v>
      </c>
      <c r="E47" s="383"/>
      <c r="F47" s="384"/>
      <c r="G47" s="261">
        <f t="shared" si="0"/>
        <v>1404419.4</v>
      </c>
      <c r="H47" s="292">
        <f t="shared" si="1"/>
        <v>0.60000000009313226</v>
      </c>
      <c r="I47" s="417">
        <f t="shared" si="2"/>
        <v>99.999957277737423</v>
      </c>
    </row>
    <row r="48" spans="1:9" ht="16.5" customHeight="1">
      <c r="A48" s="511" t="s">
        <v>613</v>
      </c>
      <c r="B48" s="540" t="s">
        <v>90</v>
      </c>
      <c r="C48" s="250">
        <f>C49+C50+C52+C54+C53</f>
        <v>1404420</v>
      </c>
      <c r="D48" s="250">
        <f>D49+D50+D52+D54+D53+D51</f>
        <v>1404419.4</v>
      </c>
      <c r="E48" s="383"/>
      <c r="F48" s="384"/>
      <c r="G48" s="262">
        <f t="shared" si="0"/>
        <v>1404419.4</v>
      </c>
      <c r="H48" s="293">
        <f t="shared" si="1"/>
        <v>0.60000000009313226</v>
      </c>
      <c r="I48" s="417">
        <f t="shared" si="2"/>
        <v>99.999957277737423</v>
      </c>
    </row>
    <row r="49" spans="1:9" ht="16.5" customHeight="1">
      <c r="A49" s="408" t="s">
        <v>297</v>
      </c>
      <c r="B49" s="541" t="s">
        <v>221</v>
      </c>
      <c r="C49" s="251">
        <v>1404420</v>
      </c>
      <c r="D49" s="251">
        <v>1404419.4</v>
      </c>
      <c r="E49" s="387"/>
      <c r="F49" s="388"/>
      <c r="G49" s="264">
        <f t="shared" si="0"/>
        <v>1404419.4</v>
      </c>
      <c r="H49" s="295">
        <f t="shared" si="1"/>
        <v>0.60000000009313226</v>
      </c>
      <c r="I49" s="417">
        <f t="shared" si="2"/>
        <v>99.999957277737423</v>
      </c>
    </row>
    <row r="50" spans="1:9" ht="15" customHeight="1">
      <c r="A50" s="408" t="s">
        <v>298</v>
      </c>
      <c r="B50" s="541" t="s">
        <v>222</v>
      </c>
      <c r="C50" s="251">
        <v>0</v>
      </c>
      <c r="D50" s="251">
        <v>0</v>
      </c>
      <c r="E50" s="387"/>
      <c r="F50" s="388"/>
      <c r="G50" s="264">
        <f t="shared" si="0"/>
        <v>0</v>
      </c>
      <c r="H50" s="295">
        <f t="shared" si="1"/>
        <v>0</v>
      </c>
      <c r="I50" s="417" t="e">
        <f t="shared" si="2"/>
        <v>#DIV/0!</v>
      </c>
    </row>
    <row r="51" spans="1:9" ht="17.100000000000001" hidden="1" customHeight="1">
      <c r="A51" s="408" t="s">
        <v>950</v>
      </c>
      <c r="B51" s="541" t="s">
        <v>951</v>
      </c>
      <c r="C51" s="251">
        <v>0</v>
      </c>
      <c r="D51" s="251">
        <v>0</v>
      </c>
      <c r="E51" s="387"/>
      <c r="F51" s="388"/>
      <c r="G51" s="264">
        <f>D51</f>
        <v>0</v>
      </c>
      <c r="H51" s="295">
        <f>C51-D51</f>
        <v>0</v>
      </c>
      <c r="I51" s="417" t="e">
        <f t="shared" si="2"/>
        <v>#DIV/0!</v>
      </c>
    </row>
    <row r="52" spans="1:9" ht="22.5" hidden="1" customHeight="1">
      <c r="A52" s="512" t="s">
        <v>299</v>
      </c>
      <c r="B52" s="541" t="s">
        <v>223</v>
      </c>
      <c r="C52" s="251">
        <v>0</v>
      </c>
      <c r="D52" s="251">
        <v>0</v>
      </c>
      <c r="E52" s="387"/>
      <c r="F52" s="388"/>
      <c r="G52" s="264">
        <f t="shared" si="0"/>
        <v>0</v>
      </c>
      <c r="H52" s="295">
        <f t="shared" si="1"/>
        <v>0</v>
      </c>
      <c r="I52" s="417" t="e">
        <f t="shared" si="2"/>
        <v>#DIV/0!</v>
      </c>
    </row>
    <row r="53" spans="1:9" ht="14.1" hidden="1" customHeight="1">
      <c r="A53" s="512" t="s">
        <v>300</v>
      </c>
      <c r="B53" s="541" t="s">
        <v>224</v>
      </c>
      <c r="C53" s="251">
        <v>0</v>
      </c>
      <c r="D53" s="251">
        <v>0</v>
      </c>
      <c r="E53" s="387"/>
      <c r="F53" s="388"/>
      <c r="G53" s="264">
        <f t="shared" si="0"/>
        <v>0</v>
      </c>
      <c r="H53" s="295">
        <f t="shared" si="1"/>
        <v>0</v>
      </c>
      <c r="I53" s="417" t="e">
        <f t="shared" si="2"/>
        <v>#DIV/0!</v>
      </c>
    </row>
    <row r="54" spans="1:9" ht="23.45" hidden="1" customHeight="1">
      <c r="A54" s="512" t="s">
        <v>323</v>
      </c>
      <c r="B54" s="541" t="s">
        <v>951</v>
      </c>
      <c r="C54" s="251"/>
      <c r="D54" s="251">
        <v>0</v>
      </c>
      <c r="E54" s="387"/>
      <c r="F54" s="388"/>
      <c r="G54" s="264">
        <f t="shared" si="0"/>
        <v>0</v>
      </c>
      <c r="H54" s="295">
        <f t="shared" si="1"/>
        <v>0</v>
      </c>
      <c r="I54" s="417" t="e">
        <f t="shared" si="2"/>
        <v>#DIV/0!</v>
      </c>
    </row>
    <row r="55" spans="1:9" ht="16.5" customHeight="1">
      <c r="A55" s="510" t="s">
        <v>115</v>
      </c>
      <c r="B55" s="539" t="s">
        <v>225</v>
      </c>
      <c r="C55" s="252">
        <f>C56+C62</f>
        <v>2030000</v>
      </c>
      <c r="D55" s="252">
        <f>D56+D62</f>
        <v>2079715.27</v>
      </c>
      <c r="E55" s="385"/>
      <c r="F55" s="386"/>
      <c r="G55" s="261">
        <f t="shared" si="0"/>
        <v>2079715.27</v>
      </c>
      <c r="H55" s="292">
        <f t="shared" si="1"/>
        <v>-49715.270000000019</v>
      </c>
      <c r="I55" s="418">
        <f t="shared" si="2"/>
        <v>102.44902807881773</v>
      </c>
    </row>
    <row r="56" spans="1:9" ht="18" customHeight="1">
      <c r="A56" s="507" t="s">
        <v>116</v>
      </c>
      <c r="B56" s="533" t="s">
        <v>226</v>
      </c>
      <c r="C56" s="257">
        <f>C57</f>
        <v>350000</v>
      </c>
      <c r="D56" s="257">
        <f>D57</f>
        <v>360798.12</v>
      </c>
      <c r="E56" s="383"/>
      <c r="F56" s="384"/>
      <c r="G56" s="262">
        <f t="shared" si="0"/>
        <v>360798.12</v>
      </c>
      <c r="H56" s="293">
        <f t="shared" si="1"/>
        <v>-10798.119999999995</v>
      </c>
      <c r="I56" s="417">
        <f t="shared" si="2"/>
        <v>103.08517714285715</v>
      </c>
    </row>
    <row r="57" spans="1:9" ht="28.5" customHeight="1">
      <c r="A57" s="209" t="s">
        <v>331</v>
      </c>
      <c r="B57" s="534" t="s">
        <v>117</v>
      </c>
      <c r="C57" s="249">
        <f>C58+C59+C61</f>
        <v>350000</v>
      </c>
      <c r="D57" s="249">
        <f>D58+D59+D61</f>
        <v>360798.12</v>
      </c>
      <c r="E57" s="387"/>
      <c r="F57" s="388"/>
      <c r="G57" s="263">
        <f t="shared" si="0"/>
        <v>360798.12</v>
      </c>
      <c r="H57" s="294">
        <f t="shared" si="1"/>
        <v>-10798.119999999995</v>
      </c>
      <c r="I57" s="417">
        <f t="shared" si="2"/>
        <v>103.08517714285715</v>
      </c>
    </row>
    <row r="58" spans="1:9" ht="25.5" customHeight="1">
      <c r="A58" s="210" t="s">
        <v>332</v>
      </c>
      <c r="B58" s="541" t="s">
        <v>227</v>
      </c>
      <c r="C58" s="251">
        <v>350000</v>
      </c>
      <c r="D58" s="251">
        <v>360641.97</v>
      </c>
      <c r="E58" s="387"/>
      <c r="F58" s="388"/>
      <c r="G58" s="264">
        <f t="shared" si="0"/>
        <v>360641.97</v>
      </c>
      <c r="H58" s="295">
        <f t="shared" si="1"/>
        <v>-10641.969999999972</v>
      </c>
      <c r="I58" s="417">
        <f t="shared" si="2"/>
        <v>103.04056285714285</v>
      </c>
    </row>
    <row r="59" spans="1:9" ht="23.1" customHeight="1">
      <c r="A59" s="210" t="s">
        <v>333</v>
      </c>
      <c r="B59" s="541" t="s">
        <v>228</v>
      </c>
      <c r="C59" s="251">
        <v>0</v>
      </c>
      <c r="D59" s="251">
        <v>156.15</v>
      </c>
      <c r="E59" s="387"/>
      <c r="F59" s="388"/>
      <c r="G59" s="264">
        <f t="shared" si="0"/>
        <v>156.15</v>
      </c>
      <c r="H59" s="295">
        <f t="shared" si="1"/>
        <v>-156.15</v>
      </c>
      <c r="I59" s="417" t="e">
        <f t="shared" si="2"/>
        <v>#DIV/0!</v>
      </c>
    </row>
    <row r="60" spans="1:9" ht="26.1" hidden="1" customHeight="1">
      <c r="A60" s="513" t="s">
        <v>333</v>
      </c>
      <c r="B60" s="541" t="s">
        <v>229</v>
      </c>
      <c r="C60" s="251"/>
      <c r="D60" s="251"/>
      <c r="E60" s="383"/>
      <c r="F60" s="384"/>
      <c r="G60" s="264">
        <f t="shared" si="0"/>
        <v>0</v>
      </c>
      <c r="H60" s="295">
        <f t="shared" si="1"/>
        <v>0</v>
      </c>
      <c r="I60" s="417" t="e">
        <f t="shared" si="2"/>
        <v>#DIV/0!</v>
      </c>
    </row>
    <row r="61" spans="1:9" ht="0.75" hidden="1" customHeight="1">
      <c r="A61" s="513" t="s">
        <v>333</v>
      </c>
      <c r="B61" s="541" t="s">
        <v>105</v>
      </c>
      <c r="C61" s="251">
        <v>0</v>
      </c>
      <c r="D61" s="251"/>
      <c r="E61" s="383"/>
      <c r="F61" s="384"/>
      <c r="G61" s="264">
        <f>D61</f>
        <v>0</v>
      </c>
      <c r="H61" s="295">
        <f>C61-D61</f>
        <v>0</v>
      </c>
      <c r="I61" s="417" t="e">
        <f t="shared" si="2"/>
        <v>#DIV/0!</v>
      </c>
    </row>
    <row r="62" spans="1:9" ht="18.75" customHeight="1">
      <c r="A62" s="507" t="s">
        <v>118</v>
      </c>
      <c r="B62" s="533" t="s">
        <v>119</v>
      </c>
      <c r="C62" s="257">
        <f>C63+C68+C73+C78</f>
        <v>1680000</v>
      </c>
      <c r="D62" s="257">
        <f>D63+D68+D73+D78</f>
        <v>1718917.15</v>
      </c>
      <c r="E62" s="385"/>
      <c r="F62" s="386"/>
      <c r="G62" s="262">
        <f>D62</f>
        <v>1718917.15</v>
      </c>
      <c r="H62" s="293">
        <f t="shared" si="1"/>
        <v>-38917.149999999907</v>
      </c>
      <c r="I62" s="417">
        <f t="shared" si="2"/>
        <v>102.31649702380952</v>
      </c>
    </row>
    <row r="63" spans="1:9" ht="26.25" hidden="1" customHeight="1">
      <c r="A63" s="414" t="s">
        <v>337</v>
      </c>
      <c r="B63" s="409" t="s">
        <v>192</v>
      </c>
      <c r="C63" s="249">
        <f>C64</f>
        <v>0</v>
      </c>
      <c r="D63" s="249">
        <f>D64</f>
        <v>0</v>
      </c>
      <c r="E63" s="387"/>
      <c r="F63" s="388"/>
      <c r="G63" s="263">
        <f t="shared" si="0"/>
        <v>0</v>
      </c>
      <c r="H63" s="294">
        <f t="shared" si="1"/>
        <v>0</v>
      </c>
      <c r="I63" s="417" t="e">
        <f t="shared" si="2"/>
        <v>#DIV/0!</v>
      </c>
    </row>
    <row r="64" spans="1:9" ht="34.5" hidden="1" customHeight="1">
      <c r="A64" s="514" t="s">
        <v>338</v>
      </c>
      <c r="B64" s="542" t="s">
        <v>193</v>
      </c>
      <c r="C64" s="251">
        <f>C65+C66+C67</f>
        <v>0</v>
      </c>
      <c r="D64" s="251">
        <f>D65+D66+D67</f>
        <v>0</v>
      </c>
      <c r="E64" s="387"/>
      <c r="F64" s="388"/>
      <c r="G64" s="265">
        <f t="shared" si="0"/>
        <v>0</v>
      </c>
      <c r="H64" s="296">
        <f t="shared" si="1"/>
        <v>0</v>
      </c>
      <c r="I64" s="417" t="e">
        <f t="shared" si="2"/>
        <v>#DIV/0!</v>
      </c>
    </row>
    <row r="65" spans="1:9" ht="33" hidden="1" customHeight="1">
      <c r="A65" s="210" t="s">
        <v>526</v>
      </c>
      <c r="B65" s="541" t="s">
        <v>230</v>
      </c>
      <c r="C65" s="251"/>
      <c r="D65" s="251"/>
      <c r="E65" s="387"/>
      <c r="F65" s="388"/>
      <c r="G65" s="265">
        <f t="shared" si="0"/>
        <v>0</v>
      </c>
      <c r="H65" s="296">
        <f t="shared" si="1"/>
        <v>0</v>
      </c>
      <c r="I65" s="417" t="e">
        <f t="shared" si="2"/>
        <v>#DIV/0!</v>
      </c>
    </row>
    <row r="66" spans="1:9" ht="34.5" hidden="1" customHeight="1">
      <c r="A66" s="515" t="s">
        <v>527</v>
      </c>
      <c r="B66" s="541" t="s">
        <v>231</v>
      </c>
      <c r="C66" s="251"/>
      <c r="D66" s="251"/>
      <c r="E66" s="387"/>
      <c r="F66" s="388"/>
      <c r="G66" s="265">
        <f t="shared" si="0"/>
        <v>0</v>
      </c>
      <c r="H66" s="296">
        <f t="shared" si="1"/>
        <v>0</v>
      </c>
      <c r="I66" s="417" t="e">
        <f t="shared" si="2"/>
        <v>#DIV/0!</v>
      </c>
    </row>
    <row r="67" spans="1:9" ht="36" hidden="1" customHeight="1">
      <c r="A67" s="516" t="s">
        <v>528</v>
      </c>
      <c r="B67" s="541" t="s">
        <v>232</v>
      </c>
      <c r="C67" s="251"/>
      <c r="D67" s="251"/>
      <c r="E67" s="387"/>
      <c r="F67" s="388"/>
      <c r="G67" s="265">
        <f t="shared" si="0"/>
        <v>0</v>
      </c>
      <c r="H67" s="296">
        <f t="shared" si="1"/>
        <v>0</v>
      </c>
      <c r="I67" s="417" t="e">
        <f t="shared" si="2"/>
        <v>#DIV/0!</v>
      </c>
    </row>
    <row r="68" spans="1:9" ht="29.25" hidden="1" customHeight="1">
      <c r="A68" s="414" t="s">
        <v>530</v>
      </c>
      <c r="B68" s="409" t="s">
        <v>194</v>
      </c>
      <c r="C68" s="249">
        <f>C69</f>
        <v>0</v>
      </c>
      <c r="D68" s="249">
        <f>D69</f>
        <v>0</v>
      </c>
      <c r="E68" s="383"/>
      <c r="F68" s="384"/>
      <c r="G68" s="263">
        <f t="shared" si="0"/>
        <v>0</v>
      </c>
      <c r="H68" s="294">
        <f t="shared" si="1"/>
        <v>0</v>
      </c>
      <c r="I68" s="417" t="e">
        <f t="shared" si="2"/>
        <v>#DIV/0!</v>
      </c>
    </row>
    <row r="69" spans="1:9" ht="33.75" hidden="1" customHeight="1">
      <c r="A69" s="208" t="s">
        <v>531</v>
      </c>
      <c r="B69" s="542" t="s">
        <v>195</v>
      </c>
      <c r="C69" s="251">
        <f>C70+C71+C72</f>
        <v>0</v>
      </c>
      <c r="D69" s="251">
        <f>D70+D71+D72</f>
        <v>0</v>
      </c>
      <c r="E69" s="387"/>
      <c r="F69" s="388"/>
      <c r="G69" s="265">
        <f t="shared" si="0"/>
        <v>0</v>
      </c>
      <c r="H69" s="296">
        <f t="shared" si="1"/>
        <v>0</v>
      </c>
      <c r="I69" s="417" t="e">
        <f t="shared" si="2"/>
        <v>#DIV/0!</v>
      </c>
    </row>
    <row r="70" spans="1:9" ht="44.25" hidden="1" customHeight="1">
      <c r="A70" s="517" t="s">
        <v>532</v>
      </c>
      <c r="B70" s="541" t="s">
        <v>233</v>
      </c>
      <c r="C70" s="251"/>
      <c r="D70" s="251"/>
      <c r="E70" s="387"/>
      <c r="F70" s="388"/>
      <c r="G70" s="265">
        <f t="shared" si="0"/>
        <v>0</v>
      </c>
      <c r="H70" s="296">
        <f t="shared" si="1"/>
        <v>0</v>
      </c>
      <c r="I70" s="417" t="e">
        <f t="shared" si="2"/>
        <v>#DIV/0!</v>
      </c>
    </row>
    <row r="71" spans="1:9" ht="36.75" hidden="1" customHeight="1">
      <c r="A71" s="512" t="s">
        <v>537</v>
      </c>
      <c r="B71" s="541" t="s">
        <v>234</v>
      </c>
      <c r="C71" s="251"/>
      <c r="D71" s="251"/>
      <c r="E71" s="387"/>
      <c r="F71" s="388"/>
      <c r="G71" s="265">
        <f t="shared" si="0"/>
        <v>0</v>
      </c>
      <c r="H71" s="296">
        <f t="shared" si="1"/>
        <v>0</v>
      </c>
      <c r="I71" s="417" t="e">
        <f t="shared" si="2"/>
        <v>#DIV/0!</v>
      </c>
    </row>
    <row r="72" spans="1:9" ht="0.75" hidden="1" customHeight="1">
      <c r="A72" s="513" t="s">
        <v>538</v>
      </c>
      <c r="B72" s="541" t="s">
        <v>235</v>
      </c>
      <c r="C72" s="251"/>
      <c r="D72" s="251"/>
      <c r="E72" s="387"/>
      <c r="F72" s="388"/>
      <c r="G72" s="265">
        <f t="shared" si="0"/>
        <v>0</v>
      </c>
      <c r="H72" s="296">
        <f t="shared" si="1"/>
        <v>0</v>
      </c>
      <c r="I72" s="417" t="e">
        <f t="shared" si="2"/>
        <v>#DIV/0!</v>
      </c>
    </row>
    <row r="73" spans="1:9" s="397" customFormat="1" ht="16.5" customHeight="1">
      <c r="A73" s="518" t="s">
        <v>216</v>
      </c>
      <c r="B73" s="543" t="s">
        <v>218</v>
      </c>
      <c r="C73" s="249">
        <f>C74+C75+C76+C77</f>
        <v>780000</v>
      </c>
      <c r="D73" s="249">
        <f>D74+D75+D76+D77</f>
        <v>766508</v>
      </c>
      <c r="E73" s="395"/>
      <c r="F73" s="396"/>
      <c r="G73" s="263">
        <f t="shared" si="0"/>
        <v>766508</v>
      </c>
      <c r="H73" s="294">
        <f t="shared" si="1"/>
        <v>13492</v>
      </c>
      <c r="I73" s="417">
        <f t="shared" si="2"/>
        <v>98.270256410256408</v>
      </c>
    </row>
    <row r="74" spans="1:9" s="109" customFormat="1" ht="26.1" customHeight="1">
      <c r="A74" s="519" t="s">
        <v>640</v>
      </c>
      <c r="B74" s="544" t="s">
        <v>638</v>
      </c>
      <c r="C74" s="248">
        <v>780000</v>
      </c>
      <c r="D74" s="248">
        <v>766508</v>
      </c>
      <c r="E74" s="385"/>
      <c r="F74" s="386"/>
      <c r="G74" s="265">
        <f t="shared" si="0"/>
        <v>766508</v>
      </c>
      <c r="H74" s="296">
        <f t="shared" si="1"/>
        <v>13492</v>
      </c>
      <c r="I74" s="417">
        <f t="shared" si="2"/>
        <v>98.270256410256408</v>
      </c>
    </row>
    <row r="75" spans="1:9" s="109" customFormat="1" ht="25.5" hidden="1" customHeight="1">
      <c r="A75" s="519" t="s">
        <v>641</v>
      </c>
      <c r="B75" s="544" t="s">
        <v>639</v>
      </c>
      <c r="C75" s="248">
        <v>0</v>
      </c>
      <c r="D75" s="248">
        <v>0</v>
      </c>
      <c r="E75" s="385"/>
      <c r="F75" s="386"/>
      <c r="G75" s="265">
        <f t="shared" si="0"/>
        <v>0</v>
      </c>
      <c r="H75" s="296">
        <f t="shared" si="1"/>
        <v>0</v>
      </c>
      <c r="I75" s="417" t="e">
        <f t="shared" si="2"/>
        <v>#DIV/0!</v>
      </c>
    </row>
    <row r="76" spans="1:9" s="109" customFormat="1" ht="23.45" hidden="1" customHeight="1">
      <c r="A76" s="519" t="s">
        <v>101</v>
      </c>
      <c r="B76" s="544" t="s">
        <v>100</v>
      </c>
      <c r="C76" s="248">
        <v>0</v>
      </c>
      <c r="D76" s="248">
        <v>0</v>
      </c>
      <c r="E76" s="385"/>
      <c r="F76" s="386"/>
      <c r="G76" s="265">
        <f>D76</f>
        <v>0</v>
      </c>
      <c r="H76" s="296">
        <f>C76-D76</f>
        <v>0</v>
      </c>
      <c r="I76" s="417" t="e">
        <f t="shared" si="2"/>
        <v>#DIV/0!</v>
      </c>
    </row>
    <row r="77" spans="1:9" s="109" customFormat="1" ht="27" hidden="1" customHeight="1">
      <c r="A77" s="519" t="s">
        <v>617</v>
      </c>
      <c r="B77" s="544" t="s">
        <v>616</v>
      </c>
      <c r="C77" s="248"/>
      <c r="D77" s="248">
        <v>0</v>
      </c>
      <c r="E77" s="385"/>
      <c r="F77" s="386"/>
      <c r="G77" s="265">
        <f>D77</f>
        <v>0</v>
      </c>
      <c r="H77" s="296">
        <f>C77-D77</f>
        <v>0</v>
      </c>
      <c r="I77" s="417" t="e">
        <f t="shared" si="2"/>
        <v>#DIV/0!</v>
      </c>
    </row>
    <row r="78" spans="1:9" ht="18" customHeight="1">
      <c r="A78" s="414" t="s">
        <v>217</v>
      </c>
      <c r="B78" s="409" t="s">
        <v>219</v>
      </c>
      <c r="C78" s="249">
        <f>C79+C80+C81+C82</f>
        <v>900000</v>
      </c>
      <c r="D78" s="249">
        <f>D79+D80+D81+D82</f>
        <v>952409.15</v>
      </c>
      <c r="E78" s="383"/>
      <c r="F78" s="384"/>
      <c r="G78" s="263">
        <f t="shared" si="0"/>
        <v>952409.15</v>
      </c>
      <c r="H78" s="294">
        <f t="shared" si="1"/>
        <v>-52409.150000000023</v>
      </c>
      <c r="I78" s="419">
        <f t="shared" si="2"/>
        <v>105.82323888888889</v>
      </c>
    </row>
    <row r="79" spans="1:9" s="109" customFormat="1" ht="25.5" customHeight="1">
      <c r="A79" s="519" t="s">
        <v>643</v>
      </c>
      <c r="B79" s="544" t="s">
        <v>642</v>
      </c>
      <c r="C79" s="248">
        <v>900000</v>
      </c>
      <c r="D79" s="248">
        <v>952409.15</v>
      </c>
      <c r="E79" s="385"/>
      <c r="F79" s="386"/>
      <c r="G79" s="265">
        <f t="shared" si="0"/>
        <v>952409.15</v>
      </c>
      <c r="H79" s="296">
        <f t="shared" si="1"/>
        <v>-52409.150000000023</v>
      </c>
      <c r="I79" s="417">
        <f t="shared" si="2"/>
        <v>105.82323888888889</v>
      </c>
    </row>
    <row r="80" spans="1:9" s="109" customFormat="1" ht="25.5" hidden="1" customHeight="1">
      <c r="A80" s="519" t="s">
        <v>644</v>
      </c>
      <c r="B80" s="544" t="s">
        <v>646</v>
      </c>
      <c r="C80" s="248">
        <v>0</v>
      </c>
      <c r="D80" s="248">
        <v>0</v>
      </c>
      <c r="E80" s="385"/>
      <c r="F80" s="386"/>
      <c r="G80" s="265">
        <f t="shared" si="0"/>
        <v>0</v>
      </c>
      <c r="H80" s="296">
        <f t="shared" si="1"/>
        <v>0</v>
      </c>
      <c r="I80" s="417" t="e">
        <f t="shared" si="2"/>
        <v>#DIV/0!</v>
      </c>
    </row>
    <row r="81" spans="1:9" s="109" customFormat="1" ht="25.5" hidden="1" customHeight="1">
      <c r="A81" s="519" t="s">
        <v>645</v>
      </c>
      <c r="B81" s="544" t="s">
        <v>647</v>
      </c>
      <c r="C81" s="248">
        <v>0</v>
      </c>
      <c r="D81" s="248">
        <v>0</v>
      </c>
      <c r="E81" s="385"/>
      <c r="F81" s="386"/>
      <c r="G81" s="264">
        <f t="shared" si="0"/>
        <v>0</v>
      </c>
      <c r="H81" s="296">
        <f t="shared" si="1"/>
        <v>0</v>
      </c>
      <c r="I81" s="417" t="e">
        <f t="shared" si="2"/>
        <v>#DIV/0!</v>
      </c>
    </row>
    <row r="82" spans="1:9" s="109" customFormat="1" ht="1.5" hidden="1" customHeight="1">
      <c r="A82" s="519" t="s">
        <v>79</v>
      </c>
      <c r="B82" s="544" t="s">
        <v>78</v>
      </c>
      <c r="C82" s="248">
        <v>0</v>
      </c>
      <c r="D82" s="248"/>
      <c r="E82" s="385"/>
      <c r="F82" s="386"/>
      <c r="G82" s="264">
        <f>D82</f>
        <v>0</v>
      </c>
      <c r="H82" s="296">
        <f>C82-D82</f>
        <v>0</v>
      </c>
      <c r="I82" s="417" t="e">
        <f t="shared" si="2"/>
        <v>#DIV/0!</v>
      </c>
    </row>
    <row r="83" spans="1:9" ht="16.5" customHeight="1">
      <c r="A83" s="278" t="s">
        <v>539</v>
      </c>
      <c r="B83" s="539" t="s">
        <v>730</v>
      </c>
      <c r="C83" s="253">
        <f>C84+C88</f>
        <v>4400</v>
      </c>
      <c r="D83" s="253">
        <f>D84+D88</f>
        <v>4320</v>
      </c>
      <c r="E83" s="383"/>
      <c r="F83" s="384"/>
      <c r="G83" s="261">
        <f t="shared" si="0"/>
        <v>4320</v>
      </c>
      <c r="H83" s="292">
        <f t="shared" si="1"/>
        <v>80</v>
      </c>
      <c r="I83" s="418">
        <f t="shared" si="2"/>
        <v>98.181818181818187</v>
      </c>
    </row>
    <row r="84" spans="1:9" ht="27" customHeight="1">
      <c r="A84" s="509" t="s">
        <v>542</v>
      </c>
      <c r="B84" s="413" t="s">
        <v>236</v>
      </c>
      <c r="C84" s="250">
        <f>C85</f>
        <v>4400</v>
      </c>
      <c r="D84" s="250">
        <f>D85</f>
        <v>4320</v>
      </c>
      <c r="E84" s="387"/>
      <c r="F84" s="388"/>
      <c r="G84" s="262">
        <f t="shared" si="0"/>
        <v>4320</v>
      </c>
      <c r="H84" s="293">
        <f t="shared" si="1"/>
        <v>80</v>
      </c>
      <c r="I84" s="417">
        <f t="shared" si="2"/>
        <v>98.181818181818187</v>
      </c>
    </row>
    <row r="85" spans="1:9" ht="36.75" hidden="1" customHeight="1">
      <c r="A85" s="209" t="s">
        <v>543</v>
      </c>
      <c r="B85" s="534" t="s">
        <v>237</v>
      </c>
      <c r="C85" s="249">
        <f>C86+C87</f>
        <v>4400</v>
      </c>
      <c r="D85" s="249">
        <f>D86+D87</f>
        <v>4320</v>
      </c>
      <c r="E85" s="387"/>
      <c r="F85" s="388"/>
      <c r="G85" s="263">
        <f t="shared" si="0"/>
        <v>4320</v>
      </c>
      <c r="H85" s="294">
        <f t="shared" si="1"/>
        <v>80</v>
      </c>
      <c r="I85" s="417">
        <f t="shared" si="2"/>
        <v>98.181818181818187</v>
      </c>
    </row>
    <row r="86" spans="1:9" ht="23.1" customHeight="1">
      <c r="A86" s="515" t="s">
        <v>544</v>
      </c>
      <c r="B86" s="541" t="s">
        <v>238</v>
      </c>
      <c r="C86" s="251">
        <v>4400</v>
      </c>
      <c r="D86" s="251">
        <v>4320</v>
      </c>
      <c r="E86" s="387"/>
      <c r="F86" s="388"/>
      <c r="G86" s="265">
        <f t="shared" si="0"/>
        <v>4320</v>
      </c>
      <c r="H86" s="296">
        <f t="shared" si="1"/>
        <v>80</v>
      </c>
      <c r="I86" s="417">
        <f t="shared" si="2"/>
        <v>98.181818181818187</v>
      </c>
    </row>
    <row r="87" spans="1:9" ht="0.95" hidden="1" customHeight="1">
      <c r="A87" s="515" t="s">
        <v>544</v>
      </c>
      <c r="B87" s="541" t="s">
        <v>339</v>
      </c>
      <c r="C87" s="251">
        <v>0</v>
      </c>
      <c r="D87" s="251">
        <v>0</v>
      </c>
      <c r="E87" s="387"/>
      <c r="F87" s="388"/>
      <c r="G87" s="265">
        <f t="shared" si="0"/>
        <v>0</v>
      </c>
      <c r="H87" s="296">
        <f t="shared" si="1"/>
        <v>0</v>
      </c>
      <c r="I87" s="417" t="e">
        <f t="shared" si="2"/>
        <v>#DIV/0!</v>
      </c>
    </row>
    <row r="88" spans="1:9" ht="0.6" hidden="1" customHeight="1">
      <c r="A88" s="414" t="s">
        <v>546</v>
      </c>
      <c r="B88" s="409" t="s">
        <v>239</v>
      </c>
      <c r="C88" s="249">
        <f>C89</f>
        <v>0</v>
      </c>
      <c r="D88" s="249">
        <f>D89</f>
        <v>0</v>
      </c>
      <c r="E88" s="387"/>
      <c r="F88" s="388"/>
      <c r="G88" s="263">
        <f t="shared" si="0"/>
        <v>0</v>
      </c>
      <c r="H88" s="294">
        <f t="shared" si="1"/>
        <v>0</v>
      </c>
      <c r="I88" s="417" t="e">
        <f t="shared" si="2"/>
        <v>#DIV/0!</v>
      </c>
    </row>
    <row r="89" spans="1:9" ht="18" hidden="1" customHeight="1">
      <c r="A89" s="280" t="s">
        <v>547</v>
      </c>
      <c r="B89" s="279" t="s">
        <v>240</v>
      </c>
      <c r="C89" s="251">
        <v>0</v>
      </c>
      <c r="D89" s="251"/>
      <c r="E89" s="387"/>
      <c r="F89" s="388"/>
      <c r="G89" s="265">
        <f t="shared" si="0"/>
        <v>0</v>
      </c>
      <c r="H89" s="296">
        <f t="shared" si="1"/>
        <v>0</v>
      </c>
      <c r="I89" s="417" t="e">
        <f t="shared" ref="I89:I160" si="6">D89/C89*100</f>
        <v>#DIV/0!</v>
      </c>
    </row>
    <row r="90" spans="1:9" ht="22.5" customHeight="1">
      <c r="A90" s="520" t="s">
        <v>622</v>
      </c>
      <c r="B90" s="539" t="s">
        <v>120</v>
      </c>
      <c r="C90" s="252">
        <f>C92</f>
        <v>0</v>
      </c>
      <c r="D90" s="252">
        <f>D92</f>
        <v>0</v>
      </c>
      <c r="E90" s="383"/>
      <c r="F90" s="384"/>
      <c r="G90" s="261">
        <f t="shared" si="0"/>
        <v>0</v>
      </c>
      <c r="H90" s="292">
        <f t="shared" si="1"/>
        <v>0</v>
      </c>
      <c r="I90" s="417" t="e">
        <f t="shared" si="6"/>
        <v>#DIV/0!</v>
      </c>
    </row>
    <row r="91" spans="1:9" ht="18" hidden="1" customHeight="1">
      <c r="A91" s="280" t="s">
        <v>548</v>
      </c>
      <c r="B91" s="279" t="s">
        <v>241</v>
      </c>
      <c r="C91" s="251"/>
      <c r="D91" s="251"/>
      <c r="E91" s="387"/>
      <c r="F91" s="388"/>
      <c r="G91" s="265">
        <f t="shared" si="0"/>
        <v>0</v>
      </c>
      <c r="H91" s="296">
        <f t="shared" si="1"/>
        <v>0</v>
      </c>
      <c r="I91" s="417" t="e">
        <f t="shared" si="6"/>
        <v>#DIV/0!</v>
      </c>
    </row>
    <row r="92" spans="1:9" ht="18" hidden="1" customHeight="1">
      <c r="A92" s="280" t="s">
        <v>115</v>
      </c>
      <c r="B92" s="279" t="s">
        <v>122</v>
      </c>
      <c r="C92" s="254">
        <f>C97</f>
        <v>0</v>
      </c>
      <c r="D92" s="254">
        <f>D97</f>
        <v>0</v>
      </c>
      <c r="E92" s="387"/>
      <c r="F92" s="388"/>
      <c r="G92" s="265">
        <f t="shared" si="0"/>
        <v>0</v>
      </c>
      <c r="H92" s="296">
        <f t="shared" si="1"/>
        <v>0</v>
      </c>
      <c r="I92" s="417" t="e">
        <f t="shared" si="6"/>
        <v>#DIV/0!</v>
      </c>
    </row>
    <row r="93" spans="1:9" ht="18" hidden="1" customHeight="1">
      <c r="A93" s="521" t="s">
        <v>549</v>
      </c>
      <c r="B93" s="279" t="s">
        <v>242</v>
      </c>
      <c r="C93" s="254"/>
      <c r="D93" s="254"/>
      <c r="E93" s="387"/>
      <c r="F93" s="388"/>
      <c r="G93" s="265">
        <f t="shared" si="0"/>
        <v>0</v>
      </c>
      <c r="H93" s="296">
        <f t="shared" si="1"/>
        <v>0</v>
      </c>
      <c r="I93" s="417" t="e">
        <f t="shared" si="6"/>
        <v>#DIV/0!</v>
      </c>
    </row>
    <row r="94" spans="1:9" ht="18" hidden="1" customHeight="1">
      <c r="A94" s="280" t="s">
        <v>550</v>
      </c>
      <c r="B94" s="279" t="s">
        <v>243</v>
      </c>
      <c r="C94" s="254">
        <f>C95+C96</f>
        <v>0</v>
      </c>
      <c r="D94" s="254">
        <f>D95+D96</f>
        <v>0</v>
      </c>
      <c r="E94" s="387"/>
      <c r="F94" s="388"/>
      <c r="G94" s="265">
        <f t="shared" si="0"/>
        <v>0</v>
      </c>
      <c r="H94" s="296">
        <f t="shared" si="1"/>
        <v>0</v>
      </c>
      <c r="I94" s="417" t="e">
        <f t="shared" si="6"/>
        <v>#DIV/0!</v>
      </c>
    </row>
    <row r="95" spans="1:9" ht="18" hidden="1" customHeight="1">
      <c r="A95" s="521" t="s">
        <v>551</v>
      </c>
      <c r="B95" s="279" t="s">
        <v>244</v>
      </c>
      <c r="C95" s="254"/>
      <c r="D95" s="254"/>
      <c r="E95" s="387"/>
      <c r="F95" s="388"/>
      <c r="G95" s="265">
        <f t="shared" si="0"/>
        <v>0</v>
      </c>
      <c r="H95" s="296">
        <f t="shared" si="1"/>
        <v>0</v>
      </c>
      <c r="I95" s="417" t="e">
        <f t="shared" si="6"/>
        <v>#DIV/0!</v>
      </c>
    </row>
    <row r="96" spans="1:9" ht="18" hidden="1" customHeight="1">
      <c r="A96" s="521" t="s">
        <v>552</v>
      </c>
      <c r="B96" s="279" t="s">
        <v>245</v>
      </c>
      <c r="C96" s="254"/>
      <c r="D96" s="254"/>
      <c r="E96" s="387"/>
      <c r="F96" s="388"/>
      <c r="G96" s="265">
        <f t="shared" si="0"/>
        <v>0</v>
      </c>
      <c r="H96" s="296">
        <f t="shared" si="1"/>
        <v>0</v>
      </c>
      <c r="I96" s="417" t="e">
        <f t="shared" si="6"/>
        <v>#DIV/0!</v>
      </c>
    </row>
    <row r="97" spans="1:9" ht="18" hidden="1" customHeight="1">
      <c r="A97" s="509" t="s">
        <v>553</v>
      </c>
      <c r="B97" s="413" t="s">
        <v>246</v>
      </c>
      <c r="C97" s="255">
        <f>C98</f>
        <v>0</v>
      </c>
      <c r="D97" s="255">
        <f>D98</f>
        <v>0</v>
      </c>
      <c r="E97" s="387"/>
      <c r="F97" s="388"/>
      <c r="G97" s="262">
        <f t="shared" si="0"/>
        <v>0</v>
      </c>
      <c r="H97" s="293">
        <f t="shared" si="1"/>
        <v>0</v>
      </c>
      <c r="I97" s="417" t="e">
        <f t="shared" si="6"/>
        <v>#DIV/0!</v>
      </c>
    </row>
    <row r="98" spans="1:9" ht="18" hidden="1" customHeight="1">
      <c r="A98" s="280" t="s">
        <v>560</v>
      </c>
      <c r="B98" s="279" t="s">
        <v>679</v>
      </c>
      <c r="C98" s="251">
        <f>J98</f>
        <v>0</v>
      </c>
      <c r="D98" s="251">
        <v>0</v>
      </c>
      <c r="E98" s="387"/>
      <c r="F98" s="388"/>
      <c r="G98" s="265">
        <f t="shared" si="0"/>
        <v>0</v>
      </c>
      <c r="H98" s="296">
        <f t="shared" si="1"/>
        <v>0</v>
      </c>
      <c r="I98" s="417" t="e">
        <f t="shared" si="6"/>
        <v>#DIV/0!</v>
      </c>
    </row>
    <row r="99" spans="1:9" ht="24.95" customHeight="1">
      <c r="A99" s="510" t="s">
        <v>623</v>
      </c>
      <c r="B99" s="539" t="s">
        <v>91</v>
      </c>
      <c r="C99" s="245">
        <f>C100+C107+C105</f>
        <v>496000</v>
      </c>
      <c r="D99" s="245">
        <f>D100+D107+D105</f>
        <v>477931.6</v>
      </c>
      <c r="E99" s="387"/>
      <c r="F99" s="388"/>
      <c r="G99" s="261">
        <f t="shared" si="0"/>
        <v>477931.6</v>
      </c>
      <c r="H99" s="292">
        <f t="shared" si="1"/>
        <v>18068.400000000023</v>
      </c>
      <c r="I99" s="417">
        <f t="shared" si="6"/>
        <v>96.357177419354826</v>
      </c>
    </row>
    <row r="100" spans="1:9" ht="39.75" hidden="1" customHeight="1">
      <c r="A100" s="509" t="s">
        <v>561</v>
      </c>
      <c r="B100" s="413" t="s">
        <v>123</v>
      </c>
      <c r="C100" s="255">
        <f>C101+C103</f>
        <v>0</v>
      </c>
      <c r="D100" s="255">
        <f>D101+D103</f>
        <v>0</v>
      </c>
      <c r="E100" s="387"/>
      <c r="F100" s="388"/>
      <c r="G100" s="262">
        <f t="shared" si="0"/>
        <v>0</v>
      </c>
      <c r="H100" s="293">
        <f t="shared" si="1"/>
        <v>0</v>
      </c>
      <c r="I100" s="417" t="e">
        <f t="shared" si="6"/>
        <v>#DIV/0!</v>
      </c>
    </row>
    <row r="101" spans="1:9" ht="52.5" hidden="1" customHeight="1">
      <c r="A101" s="280" t="s">
        <v>562</v>
      </c>
      <c r="B101" s="279" t="s">
        <v>124</v>
      </c>
      <c r="C101" s="254">
        <f>C102</f>
        <v>0</v>
      </c>
      <c r="D101" s="254"/>
      <c r="E101" s="387"/>
      <c r="F101" s="388"/>
      <c r="G101" s="265">
        <f t="shared" si="0"/>
        <v>0</v>
      </c>
      <c r="H101" s="296">
        <f t="shared" si="1"/>
        <v>0</v>
      </c>
      <c r="I101" s="417" t="e">
        <f t="shared" si="6"/>
        <v>#DIV/0!</v>
      </c>
    </row>
    <row r="102" spans="1:9" ht="39" hidden="1" customHeight="1">
      <c r="A102" s="522" t="s">
        <v>563</v>
      </c>
      <c r="B102" s="410" t="s">
        <v>680</v>
      </c>
      <c r="C102" s="251"/>
      <c r="D102" s="251"/>
      <c r="E102" s="387"/>
      <c r="F102" s="388"/>
      <c r="G102" s="265">
        <f t="shared" si="0"/>
        <v>0</v>
      </c>
      <c r="H102" s="296">
        <f t="shared" si="1"/>
        <v>0</v>
      </c>
      <c r="I102" s="417" t="e">
        <f t="shared" si="6"/>
        <v>#DIV/0!</v>
      </c>
    </row>
    <row r="103" spans="1:9" ht="40.5" hidden="1" customHeight="1">
      <c r="A103" s="280" t="s">
        <v>564</v>
      </c>
      <c r="B103" s="279" t="s">
        <v>125</v>
      </c>
      <c r="C103" s="254">
        <f>C104</f>
        <v>0</v>
      </c>
      <c r="D103" s="254">
        <f>D104</f>
        <v>0</v>
      </c>
      <c r="E103" s="387"/>
      <c r="F103" s="388"/>
      <c r="G103" s="265">
        <f t="shared" si="0"/>
        <v>0</v>
      </c>
      <c r="H103" s="296">
        <f t="shared" si="1"/>
        <v>0</v>
      </c>
      <c r="I103" s="417" t="e">
        <f t="shared" si="6"/>
        <v>#DIV/0!</v>
      </c>
    </row>
    <row r="104" spans="1:9" ht="30.75" hidden="1" customHeight="1">
      <c r="A104" s="280" t="s">
        <v>565</v>
      </c>
      <c r="B104" s="545" t="s">
        <v>126</v>
      </c>
      <c r="C104" s="254"/>
      <c r="D104" s="254"/>
      <c r="E104" s="387"/>
      <c r="F104" s="388"/>
      <c r="G104" s="265">
        <f t="shared" si="0"/>
        <v>0</v>
      </c>
      <c r="H104" s="296">
        <f t="shared" si="1"/>
        <v>0</v>
      </c>
      <c r="I104" s="417" t="e">
        <f t="shared" si="6"/>
        <v>#DIV/0!</v>
      </c>
    </row>
    <row r="105" spans="1:9" ht="25.5" hidden="1" customHeight="1">
      <c r="A105" s="509" t="s">
        <v>566</v>
      </c>
      <c r="B105" s="546" t="s">
        <v>177</v>
      </c>
      <c r="C105" s="255">
        <f>C106</f>
        <v>0</v>
      </c>
      <c r="D105" s="255">
        <f>D106</f>
        <v>0</v>
      </c>
      <c r="E105" s="387"/>
      <c r="F105" s="388"/>
      <c r="G105" s="262">
        <f t="shared" si="0"/>
        <v>0</v>
      </c>
      <c r="H105" s="293">
        <f t="shared" si="1"/>
        <v>0</v>
      </c>
      <c r="I105" s="417" t="e">
        <f t="shared" si="6"/>
        <v>#DIV/0!</v>
      </c>
    </row>
    <row r="106" spans="1:9" ht="23.1" hidden="1" customHeight="1">
      <c r="A106" s="280" t="s">
        <v>580</v>
      </c>
      <c r="B106" s="545" t="s">
        <v>60</v>
      </c>
      <c r="C106" s="251">
        <v>0</v>
      </c>
      <c r="D106" s="251"/>
      <c r="E106" s="387"/>
      <c r="F106" s="388"/>
      <c r="G106" s="265">
        <f t="shared" si="0"/>
        <v>0</v>
      </c>
      <c r="H106" s="296">
        <f t="shared" si="1"/>
        <v>0</v>
      </c>
      <c r="I106" s="417" t="e">
        <f t="shared" si="6"/>
        <v>#DIV/0!</v>
      </c>
    </row>
    <row r="107" spans="1:9" ht="36.6" customHeight="1">
      <c r="A107" s="509" t="s">
        <v>889</v>
      </c>
      <c r="B107" s="546" t="s">
        <v>887</v>
      </c>
      <c r="C107" s="255">
        <f>C108</f>
        <v>496000</v>
      </c>
      <c r="D107" s="255">
        <f>D108</f>
        <v>477931.6</v>
      </c>
      <c r="E107" s="387"/>
      <c r="F107" s="388"/>
      <c r="G107" s="262">
        <f t="shared" si="0"/>
        <v>477931.6</v>
      </c>
      <c r="H107" s="293">
        <f t="shared" si="1"/>
        <v>18068.400000000023</v>
      </c>
      <c r="I107" s="417">
        <f t="shared" si="6"/>
        <v>96.357177419354826</v>
      </c>
    </row>
    <row r="108" spans="1:9" ht="37.5" customHeight="1">
      <c r="A108" s="561" t="s">
        <v>888</v>
      </c>
      <c r="B108" s="545" t="s">
        <v>886</v>
      </c>
      <c r="C108" s="251">
        <v>496000</v>
      </c>
      <c r="D108" s="251">
        <v>477931.6</v>
      </c>
      <c r="E108" s="387"/>
      <c r="F108" s="388"/>
      <c r="G108" s="265">
        <f t="shared" si="0"/>
        <v>477931.6</v>
      </c>
      <c r="H108" s="296">
        <f t="shared" si="1"/>
        <v>18068.400000000023</v>
      </c>
      <c r="I108" s="417">
        <f t="shared" si="6"/>
        <v>96.357177419354826</v>
      </c>
    </row>
    <row r="109" spans="1:9" ht="15.75" customHeight="1">
      <c r="A109" s="213" t="s">
        <v>581</v>
      </c>
      <c r="B109" s="412" t="s">
        <v>681</v>
      </c>
      <c r="C109" s="253">
        <f>C110</f>
        <v>690000</v>
      </c>
      <c r="D109" s="253">
        <f>D110</f>
        <v>685921.5</v>
      </c>
      <c r="E109" s="383"/>
      <c r="F109" s="384"/>
      <c r="G109" s="261">
        <f t="shared" ref="G109:G174" si="7">D109</f>
        <v>685921.5</v>
      </c>
      <c r="H109" s="292">
        <f t="shared" ref="H109:H174" si="8">C109-D109</f>
        <v>4078.5</v>
      </c>
      <c r="I109" s="418">
        <f t="shared" si="6"/>
        <v>99.408913043478265</v>
      </c>
    </row>
    <row r="110" spans="1:9" ht="18.600000000000001" customHeight="1">
      <c r="A110" s="280" t="s">
        <v>594</v>
      </c>
      <c r="B110" s="545" t="s">
        <v>247</v>
      </c>
      <c r="C110" s="251">
        <v>690000</v>
      </c>
      <c r="D110" s="251">
        <v>685921.5</v>
      </c>
      <c r="E110" s="387"/>
      <c r="F110" s="388"/>
      <c r="G110" s="265">
        <f t="shared" si="7"/>
        <v>685921.5</v>
      </c>
      <c r="H110" s="296">
        <f t="shared" si="8"/>
        <v>4078.5</v>
      </c>
      <c r="I110" s="417">
        <f t="shared" si="6"/>
        <v>99.408913043478265</v>
      </c>
    </row>
    <row r="111" spans="1:9" ht="19.5" customHeight="1">
      <c r="A111" s="213" t="s">
        <v>533</v>
      </c>
      <c r="B111" s="412" t="s">
        <v>534</v>
      </c>
      <c r="C111" s="253">
        <f>C112</f>
        <v>17222127.52</v>
      </c>
      <c r="D111" s="253">
        <f>D112</f>
        <v>17222127.52</v>
      </c>
      <c r="E111" s="383"/>
      <c r="F111" s="384"/>
      <c r="G111" s="261">
        <f>D111</f>
        <v>17222127.52</v>
      </c>
      <c r="H111" s="292">
        <f>C111-D111</f>
        <v>0</v>
      </c>
      <c r="I111" s="417">
        <f t="shared" si="6"/>
        <v>100</v>
      </c>
    </row>
    <row r="112" spans="1:9" ht="15.6" customHeight="1">
      <c r="A112" s="280" t="s">
        <v>535</v>
      </c>
      <c r="B112" s="545" t="s">
        <v>536</v>
      </c>
      <c r="C112" s="251">
        <v>17222127.52</v>
      </c>
      <c r="D112" s="251">
        <v>17222127.52</v>
      </c>
      <c r="E112" s="387"/>
      <c r="F112" s="388"/>
      <c r="G112" s="265">
        <f>D112</f>
        <v>17222127.52</v>
      </c>
      <c r="H112" s="296">
        <f>C112-D112</f>
        <v>0</v>
      </c>
      <c r="I112" s="417">
        <f t="shared" si="6"/>
        <v>100</v>
      </c>
    </row>
    <row r="113" spans="1:9" ht="15.75" customHeight="1">
      <c r="A113" s="510" t="s">
        <v>692</v>
      </c>
      <c r="B113" s="539" t="s">
        <v>248</v>
      </c>
      <c r="C113" s="253">
        <f>+C114+C116</f>
        <v>0</v>
      </c>
      <c r="D113" s="253">
        <f>+D114+D116</f>
        <v>0</v>
      </c>
      <c r="E113" s="383"/>
      <c r="F113" s="384"/>
      <c r="G113" s="261">
        <f t="shared" si="7"/>
        <v>0</v>
      </c>
      <c r="H113" s="292">
        <f t="shared" si="8"/>
        <v>0</v>
      </c>
      <c r="I113" s="417" t="e">
        <f t="shared" si="6"/>
        <v>#DIV/0!</v>
      </c>
    </row>
    <row r="114" spans="1:9" ht="25.5" hidden="1" customHeight="1">
      <c r="A114" s="509" t="s">
        <v>602</v>
      </c>
      <c r="B114" s="413" t="s">
        <v>249</v>
      </c>
      <c r="C114" s="255">
        <f>+C115</f>
        <v>0</v>
      </c>
      <c r="D114" s="255">
        <f>+D115</f>
        <v>0</v>
      </c>
      <c r="E114" s="383"/>
      <c r="F114" s="384"/>
      <c r="G114" s="262">
        <f t="shared" si="7"/>
        <v>0</v>
      </c>
      <c r="H114" s="293">
        <f t="shared" si="8"/>
        <v>0</v>
      </c>
      <c r="I114" s="417" t="e">
        <f t="shared" si="6"/>
        <v>#DIV/0!</v>
      </c>
    </row>
    <row r="115" spans="1:9" ht="48" hidden="1" customHeight="1">
      <c r="A115" s="280" t="s">
        <v>953</v>
      </c>
      <c r="B115" s="279" t="s">
        <v>952</v>
      </c>
      <c r="C115" s="251">
        <f>J115</f>
        <v>0</v>
      </c>
      <c r="D115" s="251">
        <v>0</v>
      </c>
      <c r="E115" s="383"/>
      <c r="F115" s="384"/>
      <c r="G115" s="265">
        <f t="shared" si="7"/>
        <v>0</v>
      </c>
      <c r="H115" s="296">
        <f t="shared" si="8"/>
        <v>0</v>
      </c>
      <c r="I115" s="417" t="e">
        <f t="shared" si="6"/>
        <v>#DIV/0!</v>
      </c>
    </row>
    <row r="116" spans="1:9" ht="35.25" hidden="1" customHeight="1">
      <c r="A116" s="212" t="s">
        <v>603</v>
      </c>
      <c r="B116" s="547" t="s">
        <v>250</v>
      </c>
      <c r="C116" s="255">
        <f>+C117</f>
        <v>0</v>
      </c>
      <c r="D116" s="255">
        <f>+D117</f>
        <v>0</v>
      </c>
      <c r="E116" s="383"/>
      <c r="F116" s="384"/>
      <c r="G116" s="262">
        <f t="shared" si="7"/>
        <v>0</v>
      </c>
      <c r="H116" s="293">
        <f t="shared" si="8"/>
        <v>0</v>
      </c>
      <c r="I116" s="417" t="e">
        <f t="shared" si="6"/>
        <v>#DIV/0!</v>
      </c>
    </row>
    <row r="117" spans="1:9" ht="25.5" hidden="1" customHeight="1">
      <c r="A117" s="523" t="s">
        <v>604</v>
      </c>
      <c r="B117" s="548" t="s">
        <v>251</v>
      </c>
      <c r="C117" s="251"/>
      <c r="D117" s="251"/>
      <c r="E117" s="387"/>
      <c r="F117" s="388"/>
      <c r="G117" s="265">
        <f t="shared" si="7"/>
        <v>0</v>
      </c>
      <c r="H117" s="296">
        <f t="shared" si="8"/>
        <v>0</v>
      </c>
      <c r="I117" s="417" t="e">
        <f t="shared" si="6"/>
        <v>#DIV/0!</v>
      </c>
    </row>
    <row r="118" spans="1:9" ht="18.600000000000001" customHeight="1">
      <c r="A118" s="524" t="s">
        <v>624</v>
      </c>
      <c r="B118" s="549" t="s">
        <v>625</v>
      </c>
      <c r="C118" s="252">
        <f>C119+C123+C121</f>
        <v>95000</v>
      </c>
      <c r="D118" s="372">
        <f>D119+D121+D123+D125</f>
        <v>110571.29</v>
      </c>
      <c r="E118" s="383"/>
      <c r="F118" s="384"/>
      <c r="G118" s="261">
        <f t="shared" si="7"/>
        <v>110571.29</v>
      </c>
      <c r="H118" s="292">
        <f t="shared" si="8"/>
        <v>-15571.289999999994</v>
      </c>
      <c r="I118" s="417">
        <f t="shared" si="6"/>
        <v>116.39083157894736</v>
      </c>
    </row>
    <row r="119" spans="1:9" ht="24" customHeight="1">
      <c r="A119" s="400" t="s">
        <v>963</v>
      </c>
      <c r="B119" s="550" t="s">
        <v>961</v>
      </c>
      <c r="C119" s="250">
        <f>C120</f>
        <v>95000</v>
      </c>
      <c r="D119" s="250">
        <f>D120</f>
        <v>110571.29</v>
      </c>
      <c r="E119" s="387"/>
      <c r="F119" s="388"/>
      <c r="G119" s="262">
        <f t="shared" si="7"/>
        <v>110571.29</v>
      </c>
      <c r="H119" s="293">
        <f t="shared" si="8"/>
        <v>-15571.289999999994</v>
      </c>
      <c r="I119" s="417">
        <f t="shared" si="6"/>
        <v>116.39083157894736</v>
      </c>
    </row>
    <row r="120" spans="1:9" ht="26.1" customHeight="1">
      <c r="A120" s="522" t="s">
        <v>962</v>
      </c>
      <c r="B120" s="551" t="s">
        <v>964</v>
      </c>
      <c r="C120" s="251">
        <v>95000</v>
      </c>
      <c r="D120" s="251">
        <v>110571.29</v>
      </c>
      <c r="E120" s="387"/>
      <c r="F120" s="388"/>
      <c r="G120" s="265">
        <f t="shared" si="7"/>
        <v>110571.29</v>
      </c>
      <c r="H120" s="296">
        <f t="shared" si="8"/>
        <v>-15571.289999999994</v>
      </c>
      <c r="I120" s="417">
        <f t="shared" si="6"/>
        <v>116.39083157894736</v>
      </c>
    </row>
    <row r="121" spans="1:9" ht="26.45" hidden="1" customHeight="1">
      <c r="A121" s="400" t="s">
        <v>84</v>
      </c>
      <c r="B121" s="550" t="s">
        <v>975</v>
      </c>
      <c r="C121" s="250">
        <f>C122</f>
        <v>0</v>
      </c>
      <c r="D121" s="250">
        <f>D122</f>
        <v>0</v>
      </c>
      <c r="E121" s="387"/>
      <c r="F121" s="388"/>
      <c r="G121" s="262">
        <f t="shared" si="7"/>
        <v>0</v>
      </c>
      <c r="H121" s="293">
        <f t="shared" si="8"/>
        <v>0</v>
      </c>
      <c r="I121" s="417" t="e">
        <f t="shared" si="6"/>
        <v>#DIV/0!</v>
      </c>
    </row>
    <row r="122" spans="1:9" ht="24.6" hidden="1" customHeight="1">
      <c r="A122" s="401" t="s">
        <v>974</v>
      </c>
      <c r="B122" s="552" t="s">
        <v>973</v>
      </c>
      <c r="C122" s="251"/>
      <c r="D122" s="251">
        <v>0</v>
      </c>
      <c r="E122" s="387"/>
      <c r="F122" s="388"/>
      <c r="G122" s="265">
        <f t="shared" si="7"/>
        <v>0</v>
      </c>
      <c r="H122" s="296">
        <f t="shared" si="8"/>
        <v>0</v>
      </c>
      <c r="I122" s="417" t="e">
        <f t="shared" si="6"/>
        <v>#DIV/0!</v>
      </c>
    </row>
    <row r="123" spans="1:9" ht="24.95" hidden="1" customHeight="1">
      <c r="A123" s="400" t="s">
        <v>270</v>
      </c>
      <c r="B123" s="550" t="s">
        <v>271</v>
      </c>
      <c r="C123" s="255">
        <f>C124</f>
        <v>0</v>
      </c>
      <c r="D123" s="255">
        <f>D124</f>
        <v>0</v>
      </c>
      <c r="E123" s="387"/>
      <c r="F123" s="388"/>
      <c r="G123" s="262">
        <f t="shared" si="7"/>
        <v>0</v>
      </c>
      <c r="H123" s="293">
        <f t="shared" si="8"/>
        <v>0</v>
      </c>
      <c r="I123" s="417" t="e">
        <f t="shared" si="6"/>
        <v>#DIV/0!</v>
      </c>
    </row>
    <row r="124" spans="1:9" ht="36.6" hidden="1" customHeight="1">
      <c r="A124" s="401" t="s">
        <v>260</v>
      </c>
      <c r="B124" s="552" t="s">
        <v>259</v>
      </c>
      <c r="C124" s="251">
        <v>0</v>
      </c>
      <c r="D124" s="251">
        <v>0</v>
      </c>
      <c r="E124" s="387"/>
      <c r="F124" s="388"/>
      <c r="G124" s="265">
        <f t="shared" si="7"/>
        <v>0</v>
      </c>
      <c r="H124" s="296">
        <f t="shared" si="8"/>
        <v>0</v>
      </c>
      <c r="I124" s="417" t="e">
        <f t="shared" si="6"/>
        <v>#DIV/0!</v>
      </c>
    </row>
    <row r="125" spans="1:9" ht="49.5" hidden="1" customHeight="1">
      <c r="A125" s="503" t="s">
        <v>849</v>
      </c>
      <c r="B125" s="550" t="s">
        <v>847</v>
      </c>
      <c r="C125" s="255">
        <f>C126</f>
        <v>0</v>
      </c>
      <c r="D125" s="255">
        <f>D126</f>
        <v>0</v>
      </c>
      <c r="E125" s="387"/>
      <c r="F125" s="388"/>
      <c r="G125" s="262">
        <f t="shared" si="7"/>
        <v>0</v>
      </c>
      <c r="H125" s="293">
        <f t="shared" si="8"/>
        <v>0</v>
      </c>
      <c r="I125" s="417" t="e">
        <f t="shared" si="6"/>
        <v>#DIV/0!</v>
      </c>
    </row>
    <row r="126" spans="1:9" ht="46.5" hidden="1" customHeight="1">
      <c r="A126" s="500" t="s">
        <v>850</v>
      </c>
      <c r="B126" s="552" t="s">
        <v>848</v>
      </c>
      <c r="C126" s="251">
        <v>0</v>
      </c>
      <c r="D126" s="251">
        <v>0</v>
      </c>
      <c r="E126" s="387"/>
      <c r="F126" s="388"/>
      <c r="G126" s="265">
        <f t="shared" si="7"/>
        <v>0</v>
      </c>
      <c r="H126" s="296">
        <f t="shared" si="8"/>
        <v>0</v>
      </c>
      <c r="I126" s="417" t="e">
        <f t="shared" si="6"/>
        <v>#DIV/0!</v>
      </c>
    </row>
    <row r="127" spans="1:9" ht="15" customHeight="1">
      <c r="A127" s="278" t="s">
        <v>637</v>
      </c>
      <c r="B127" s="406" t="s">
        <v>648</v>
      </c>
      <c r="C127" s="271">
        <f>C130+C128+C132</f>
        <v>0</v>
      </c>
      <c r="D127" s="373">
        <f>D130+D128+D132</f>
        <v>0</v>
      </c>
      <c r="E127" s="383"/>
      <c r="F127" s="384"/>
      <c r="G127" s="307">
        <f t="shared" si="7"/>
        <v>0</v>
      </c>
      <c r="H127" s="297">
        <f t="shared" ref="H127:H133" si="9">C127-G127</f>
        <v>0</v>
      </c>
      <c r="I127" s="417" t="e">
        <f t="shared" si="6"/>
        <v>#DIV/0!</v>
      </c>
    </row>
    <row r="128" spans="1:9" ht="19.5" customHeight="1">
      <c r="A128" s="407" t="s">
        <v>1023</v>
      </c>
      <c r="B128" s="538" t="s">
        <v>1022</v>
      </c>
      <c r="C128" s="272">
        <f>C129</f>
        <v>0</v>
      </c>
      <c r="D128" s="374">
        <f>D129</f>
        <v>0</v>
      </c>
      <c r="E128" s="383"/>
      <c r="F128" s="384"/>
      <c r="G128" s="308">
        <f>D128</f>
        <v>0</v>
      </c>
      <c r="H128" s="299">
        <f>C128-G128</f>
        <v>0</v>
      </c>
      <c r="I128" s="417" t="e">
        <f>D128/C128*100</f>
        <v>#DIV/0!</v>
      </c>
    </row>
    <row r="129" spans="1:9" ht="18.95" customHeight="1">
      <c r="A129" s="408" t="s">
        <v>1020</v>
      </c>
      <c r="B129" s="405" t="s">
        <v>1021</v>
      </c>
      <c r="C129" s="273">
        <v>0</v>
      </c>
      <c r="D129" s="375">
        <v>0</v>
      </c>
      <c r="E129" s="385"/>
      <c r="F129" s="386"/>
      <c r="G129" s="308">
        <f>D129</f>
        <v>0</v>
      </c>
      <c r="H129" s="299">
        <f>C129-G129</f>
        <v>0</v>
      </c>
      <c r="I129" s="417" t="e">
        <f>D129/C129*100</f>
        <v>#DIV/0!</v>
      </c>
    </row>
    <row r="130" spans="1:9" ht="17.100000000000001" customHeight="1">
      <c r="A130" s="407" t="s">
        <v>649</v>
      </c>
      <c r="B130" s="538" t="s">
        <v>650</v>
      </c>
      <c r="C130" s="272">
        <f>C131</f>
        <v>0</v>
      </c>
      <c r="D130" s="374">
        <f>D131</f>
        <v>0</v>
      </c>
      <c r="E130" s="383"/>
      <c r="F130" s="384"/>
      <c r="G130" s="308">
        <f t="shared" si="7"/>
        <v>0</v>
      </c>
      <c r="H130" s="298">
        <f t="shared" si="9"/>
        <v>0</v>
      </c>
      <c r="I130" s="417" t="e">
        <f t="shared" si="6"/>
        <v>#DIV/0!</v>
      </c>
    </row>
    <row r="131" spans="1:9" ht="16.5" customHeight="1">
      <c r="A131" s="408" t="s">
        <v>651</v>
      </c>
      <c r="B131" s="405" t="s">
        <v>652</v>
      </c>
      <c r="C131" s="273"/>
      <c r="D131" s="375">
        <v>0</v>
      </c>
      <c r="E131" s="385"/>
      <c r="F131" s="386"/>
      <c r="G131" s="309">
        <f t="shared" si="7"/>
        <v>0</v>
      </c>
      <c r="H131" s="299">
        <f t="shared" si="9"/>
        <v>0</v>
      </c>
      <c r="I131" s="417" t="e">
        <f t="shared" si="6"/>
        <v>#DIV/0!</v>
      </c>
    </row>
    <row r="132" spans="1:9" ht="26.1" hidden="1" customHeight="1">
      <c r="A132" s="407" t="s">
        <v>653</v>
      </c>
      <c r="B132" s="538" t="s">
        <v>654</v>
      </c>
      <c r="C132" s="272">
        <f>C133</f>
        <v>0</v>
      </c>
      <c r="D132" s="374">
        <f>D133</f>
        <v>0</v>
      </c>
      <c r="E132" s="385"/>
      <c r="F132" s="386"/>
      <c r="G132" s="308">
        <f t="shared" si="7"/>
        <v>0</v>
      </c>
      <c r="H132" s="299">
        <f t="shared" si="9"/>
        <v>0</v>
      </c>
      <c r="I132" s="417" t="e">
        <f t="shared" si="6"/>
        <v>#DIV/0!</v>
      </c>
    </row>
    <row r="133" spans="1:9" ht="26.1" hidden="1" customHeight="1">
      <c r="A133" s="408" t="s">
        <v>655</v>
      </c>
      <c r="B133" s="405" t="s">
        <v>656</v>
      </c>
      <c r="C133" s="273"/>
      <c r="D133" s="375"/>
      <c r="E133" s="385"/>
      <c r="F133" s="386"/>
      <c r="G133" s="308">
        <f t="shared" si="7"/>
        <v>0</v>
      </c>
      <c r="H133" s="299">
        <f t="shared" si="9"/>
        <v>0</v>
      </c>
      <c r="I133" s="417" t="e">
        <f t="shared" si="6"/>
        <v>#DIV/0!</v>
      </c>
    </row>
    <row r="134" spans="1:9" ht="15.95" customHeight="1">
      <c r="A134" s="525" t="s">
        <v>127</v>
      </c>
      <c r="B134" s="553" t="s">
        <v>128</v>
      </c>
      <c r="C134" s="256">
        <f>C138+C135+C169</f>
        <v>7352545.9700000007</v>
      </c>
      <c r="D134" s="256">
        <f>D138+D135+D169</f>
        <v>6541194.6600000001</v>
      </c>
      <c r="E134" s="387"/>
      <c r="F134" s="388"/>
      <c r="G134" s="267">
        <f t="shared" si="7"/>
        <v>6541194.6600000001</v>
      </c>
      <c r="H134" s="300">
        <f t="shared" si="8"/>
        <v>811351.31000000052</v>
      </c>
      <c r="I134" s="417">
        <f t="shared" si="6"/>
        <v>88.965029075499942</v>
      </c>
    </row>
    <row r="135" spans="1:9" ht="24.6" hidden="1" customHeight="1">
      <c r="A135" s="278" t="s">
        <v>657</v>
      </c>
      <c r="B135" s="406" t="s">
        <v>658</v>
      </c>
      <c r="C135" s="268">
        <f>C136</f>
        <v>0</v>
      </c>
      <c r="D135" s="376">
        <f>D136</f>
        <v>0</v>
      </c>
      <c r="E135" s="383"/>
      <c r="F135" s="384"/>
      <c r="G135" s="307">
        <f>D135</f>
        <v>0</v>
      </c>
      <c r="H135" s="297">
        <f>C135-G135</f>
        <v>0</v>
      </c>
      <c r="I135" s="417" t="e">
        <f t="shared" si="6"/>
        <v>#DIV/0!</v>
      </c>
    </row>
    <row r="136" spans="1:9" ht="26.45" hidden="1" customHeight="1">
      <c r="A136" s="407" t="s">
        <v>657</v>
      </c>
      <c r="B136" s="538" t="s">
        <v>659</v>
      </c>
      <c r="C136" s="272">
        <f>C137</f>
        <v>0</v>
      </c>
      <c r="D136" s="374">
        <f>D137</f>
        <v>0</v>
      </c>
      <c r="E136" s="383"/>
      <c r="F136" s="384"/>
      <c r="G136" s="308">
        <f>D136</f>
        <v>0</v>
      </c>
      <c r="H136" s="298">
        <f>C136-G136</f>
        <v>0</v>
      </c>
      <c r="I136" s="417" t="e">
        <f t="shared" si="6"/>
        <v>#DIV/0!</v>
      </c>
    </row>
    <row r="137" spans="1:9" ht="30" hidden="1" customHeight="1">
      <c r="A137" s="408" t="s">
        <v>660</v>
      </c>
      <c r="B137" s="405" t="s">
        <v>661</v>
      </c>
      <c r="C137" s="273"/>
      <c r="D137" s="375"/>
      <c r="E137" s="385"/>
      <c r="F137" s="386"/>
      <c r="G137" s="309">
        <f>D137</f>
        <v>0</v>
      </c>
      <c r="H137" s="299">
        <f>C137-G137</f>
        <v>0</v>
      </c>
      <c r="I137" s="417" t="e">
        <f t="shared" si="6"/>
        <v>#DIV/0!</v>
      </c>
    </row>
    <row r="138" spans="1:9" ht="17.25" customHeight="1">
      <c r="A138" s="525" t="s">
        <v>605</v>
      </c>
      <c r="B138" s="553" t="s">
        <v>92</v>
      </c>
      <c r="C138" s="256">
        <f>C139+C153+C159+C171+C142</f>
        <v>7352545.9700000007</v>
      </c>
      <c r="D138" s="256">
        <f>D139+D153+D159+D171+D142+D166</f>
        <v>6541194.6600000001</v>
      </c>
      <c r="E138" s="383"/>
      <c r="F138" s="384"/>
      <c r="G138" s="267">
        <f t="shared" si="7"/>
        <v>6541194.6600000001</v>
      </c>
      <c r="H138" s="300">
        <f t="shared" si="8"/>
        <v>811351.31000000052</v>
      </c>
      <c r="I138" s="417">
        <f t="shared" si="6"/>
        <v>88.965029075499942</v>
      </c>
    </row>
    <row r="139" spans="1:9" ht="18" customHeight="1">
      <c r="A139" s="526" t="s">
        <v>130</v>
      </c>
      <c r="B139" s="549" t="s">
        <v>302</v>
      </c>
      <c r="C139" s="252">
        <f>C140</f>
        <v>3119000</v>
      </c>
      <c r="D139" s="252">
        <f>D140</f>
        <v>3119000</v>
      </c>
      <c r="E139" s="383"/>
      <c r="F139" s="384"/>
      <c r="G139" s="261">
        <f t="shared" si="7"/>
        <v>3119000</v>
      </c>
      <c r="H139" s="292">
        <f t="shared" si="8"/>
        <v>0</v>
      </c>
      <c r="I139" s="417">
        <f t="shared" si="6"/>
        <v>100</v>
      </c>
    </row>
    <row r="140" spans="1:9" ht="16.5" customHeight="1">
      <c r="A140" s="209" t="s">
        <v>263</v>
      </c>
      <c r="B140" s="411" t="s">
        <v>304</v>
      </c>
      <c r="C140" s="249">
        <f>C141</f>
        <v>3119000</v>
      </c>
      <c r="D140" s="249">
        <f>D141</f>
        <v>3119000</v>
      </c>
      <c r="E140" s="389"/>
      <c r="F140" s="390"/>
      <c r="G140" s="263">
        <f t="shared" si="7"/>
        <v>3119000</v>
      </c>
      <c r="H140" s="294">
        <f t="shared" si="8"/>
        <v>0</v>
      </c>
      <c r="I140" s="417">
        <f t="shared" si="6"/>
        <v>100</v>
      </c>
    </row>
    <row r="141" spans="1:9" ht="16.5" customHeight="1">
      <c r="A141" s="401" t="s">
        <v>262</v>
      </c>
      <c r="B141" s="552" t="s">
        <v>303</v>
      </c>
      <c r="C141" s="251">
        <v>3119000</v>
      </c>
      <c r="D141" s="251">
        <v>3119000</v>
      </c>
      <c r="E141" s="387"/>
      <c r="F141" s="388"/>
      <c r="G141" s="265">
        <f t="shared" si="7"/>
        <v>3119000</v>
      </c>
      <c r="H141" s="296">
        <f t="shared" si="8"/>
        <v>0</v>
      </c>
      <c r="I141" s="417">
        <f t="shared" si="6"/>
        <v>100</v>
      </c>
    </row>
    <row r="142" spans="1:9" ht="16.5" hidden="1" customHeight="1">
      <c r="A142" s="278" t="s">
        <v>662</v>
      </c>
      <c r="B142" s="406" t="s">
        <v>305</v>
      </c>
      <c r="C142" s="271">
        <f>C151+C143+C149+C147+C145</f>
        <v>0</v>
      </c>
      <c r="D142" s="271">
        <f>D151+D143+D149+D147+D145</f>
        <v>0</v>
      </c>
      <c r="E142" s="383"/>
      <c r="F142" s="384"/>
      <c r="G142" s="310">
        <f t="shared" si="7"/>
        <v>0</v>
      </c>
      <c r="H142" s="301">
        <f t="shared" ref="H142:H152" si="10">C142-G142</f>
        <v>0</v>
      </c>
      <c r="I142" s="417" t="e">
        <f t="shared" si="6"/>
        <v>#DIV/0!</v>
      </c>
    </row>
    <row r="143" spans="1:9" ht="24.6" hidden="1" customHeight="1">
      <c r="A143" s="415" t="s">
        <v>663</v>
      </c>
      <c r="B143" s="402" t="s">
        <v>664</v>
      </c>
      <c r="C143" s="269">
        <f>C144</f>
        <v>0</v>
      </c>
      <c r="D143" s="377">
        <f>D144</f>
        <v>0</v>
      </c>
      <c r="E143" s="383"/>
      <c r="F143" s="384"/>
      <c r="G143" s="311">
        <f t="shared" si="7"/>
        <v>0</v>
      </c>
      <c r="H143" s="302">
        <f t="shared" si="10"/>
        <v>0</v>
      </c>
      <c r="I143" s="417" t="e">
        <f t="shared" si="6"/>
        <v>#DIV/0!</v>
      </c>
    </row>
    <row r="144" spans="1:9" ht="24.6" hidden="1" customHeight="1">
      <c r="A144" s="416" t="s">
        <v>668</v>
      </c>
      <c r="B144" s="554" t="s">
        <v>669</v>
      </c>
      <c r="C144" s="270">
        <v>0</v>
      </c>
      <c r="D144" s="378">
        <v>0</v>
      </c>
      <c r="E144" s="383"/>
      <c r="F144" s="384"/>
      <c r="G144" s="312">
        <f t="shared" si="7"/>
        <v>0</v>
      </c>
      <c r="H144" s="303">
        <f t="shared" si="10"/>
        <v>0</v>
      </c>
      <c r="I144" s="417" t="e">
        <f t="shared" si="6"/>
        <v>#DIV/0!</v>
      </c>
    </row>
    <row r="145" spans="1:9" ht="24.6" hidden="1" customHeight="1">
      <c r="A145" s="415" t="s">
        <v>979</v>
      </c>
      <c r="B145" s="402" t="s">
        <v>978</v>
      </c>
      <c r="C145" s="269">
        <f>C146</f>
        <v>0</v>
      </c>
      <c r="D145" s="377">
        <f>D146</f>
        <v>0</v>
      </c>
      <c r="E145" s="383"/>
      <c r="F145" s="384"/>
      <c r="G145" s="311">
        <f>D145</f>
        <v>0</v>
      </c>
      <c r="H145" s="302">
        <f>C145-G145</f>
        <v>0</v>
      </c>
      <c r="I145" s="417" t="e">
        <f>D145/C145*100</f>
        <v>#DIV/0!</v>
      </c>
    </row>
    <row r="146" spans="1:9" ht="24" hidden="1" customHeight="1">
      <c r="A146" s="416" t="s">
        <v>976</v>
      </c>
      <c r="B146" s="554" t="s">
        <v>977</v>
      </c>
      <c r="C146" s="270"/>
      <c r="D146" s="378">
        <v>0</v>
      </c>
      <c r="E146" s="383"/>
      <c r="F146" s="384"/>
      <c r="G146" s="312">
        <f>D146</f>
        <v>0</v>
      </c>
      <c r="H146" s="303">
        <f>C146-G146</f>
        <v>0</v>
      </c>
      <c r="I146" s="417" t="e">
        <f>D146/C146*100</f>
        <v>#DIV/0!</v>
      </c>
    </row>
    <row r="147" spans="1:9" ht="0.6" hidden="1" customHeight="1">
      <c r="A147" s="415" t="s">
        <v>151</v>
      </c>
      <c r="B147" s="402" t="s">
        <v>306</v>
      </c>
      <c r="C147" s="269">
        <f>C148</f>
        <v>0</v>
      </c>
      <c r="D147" s="377">
        <f>D148</f>
        <v>0</v>
      </c>
      <c r="E147" s="383"/>
      <c r="F147" s="384"/>
      <c r="G147" s="311">
        <f>D147</f>
        <v>0</v>
      </c>
      <c r="H147" s="302">
        <f>C147-G147</f>
        <v>0</v>
      </c>
      <c r="I147" s="417" t="e">
        <f>D147/C147*100</f>
        <v>#DIV/0!</v>
      </c>
    </row>
    <row r="148" spans="1:9" ht="24.6" hidden="1" customHeight="1">
      <c r="A148" s="416" t="s">
        <v>152</v>
      </c>
      <c r="B148" s="554" t="s">
        <v>307</v>
      </c>
      <c r="C148" s="270">
        <v>0</v>
      </c>
      <c r="D148" s="378">
        <v>0</v>
      </c>
      <c r="E148" s="383"/>
      <c r="F148" s="384"/>
      <c r="G148" s="312">
        <f>D148</f>
        <v>0</v>
      </c>
      <c r="H148" s="303">
        <f>C148-G148</f>
        <v>0</v>
      </c>
      <c r="I148" s="417" t="e">
        <f>D148/C148*100</f>
        <v>#DIV/0!</v>
      </c>
    </row>
    <row r="149" spans="1:9" ht="24.6" hidden="1" customHeight="1">
      <c r="A149" s="415" t="s">
        <v>619</v>
      </c>
      <c r="B149" s="402" t="s">
        <v>621</v>
      </c>
      <c r="C149" s="269">
        <f>C150</f>
        <v>0</v>
      </c>
      <c r="D149" s="377">
        <f>D150</f>
        <v>0</v>
      </c>
      <c r="E149" s="383"/>
      <c r="F149" s="384"/>
      <c r="G149" s="311">
        <f t="shared" si="7"/>
        <v>0</v>
      </c>
      <c r="H149" s="302">
        <f t="shared" si="10"/>
        <v>0</v>
      </c>
      <c r="I149" s="417" t="e">
        <f t="shared" si="6"/>
        <v>#DIV/0!</v>
      </c>
    </row>
    <row r="150" spans="1:9" ht="24.6" hidden="1" customHeight="1">
      <c r="A150" s="416" t="s">
        <v>618</v>
      </c>
      <c r="B150" s="554" t="s">
        <v>620</v>
      </c>
      <c r="C150" s="270">
        <v>0</v>
      </c>
      <c r="D150" s="378">
        <v>0</v>
      </c>
      <c r="E150" s="383"/>
      <c r="F150" s="384"/>
      <c r="G150" s="312">
        <f t="shared" si="7"/>
        <v>0</v>
      </c>
      <c r="H150" s="303">
        <f t="shared" si="10"/>
        <v>0</v>
      </c>
      <c r="I150" s="417" t="e">
        <f t="shared" si="6"/>
        <v>#DIV/0!</v>
      </c>
    </row>
    <row r="151" spans="1:9" ht="24.6" hidden="1" customHeight="1">
      <c r="A151" s="415" t="s">
        <v>670</v>
      </c>
      <c r="B151" s="402" t="s">
        <v>671</v>
      </c>
      <c r="C151" s="269">
        <f>C152</f>
        <v>0</v>
      </c>
      <c r="D151" s="377">
        <f>D152</f>
        <v>0</v>
      </c>
      <c r="E151" s="383"/>
      <c r="F151" s="384"/>
      <c r="G151" s="311">
        <f t="shared" si="7"/>
        <v>0</v>
      </c>
      <c r="H151" s="302">
        <f t="shared" si="10"/>
        <v>0</v>
      </c>
      <c r="I151" s="417" t="e">
        <f t="shared" si="6"/>
        <v>#DIV/0!</v>
      </c>
    </row>
    <row r="152" spans="1:9" ht="18.600000000000001" hidden="1" customHeight="1">
      <c r="A152" s="416" t="s">
        <v>672</v>
      </c>
      <c r="B152" s="554" t="s">
        <v>673</v>
      </c>
      <c r="C152" s="270">
        <v>0</v>
      </c>
      <c r="D152" s="378">
        <v>0</v>
      </c>
      <c r="E152" s="383"/>
      <c r="F152" s="384"/>
      <c r="G152" s="312">
        <f t="shared" si="7"/>
        <v>0</v>
      </c>
      <c r="H152" s="303">
        <f t="shared" si="10"/>
        <v>0</v>
      </c>
      <c r="I152" s="417" t="e">
        <f t="shared" si="6"/>
        <v>#DIV/0!</v>
      </c>
    </row>
    <row r="153" spans="1:9" ht="16.5" customHeight="1">
      <c r="A153" s="526" t="s">
        <v>713</v>
      </c>
      <c r="B153" s="549" t="s">
        <v>308</v>
      </c>
      <c r="C153" s="252">
        <f>C155+C157</f>
        <v>443900</v>
      </c>
      <c r="D153" s="252">
        <f>D155+D157</f>
        <v>443900</v>
      </c>
      <c r="E153" s="391"/>
      <c r="F153" s="392"/>
      <c r="G153" s="261">
        <f t="shared" si="7"/>
        <v>443900</v>
      </c>
      <c r="H153" s="292">
        <f t="shared" si="8"/>
        <v>0</v>
      </c>
      <c r="I153" s="417">
        <f t="shared" si="6"/>
        <v>100</v>
      </c>
    </row>
    <row r="154" spans="1:9" ht="17.25" hidden="1" customHeight="1">
      <c r="A154" s="401" t="s">
        <v>606</v>
      </c>
      <c r="B154" s="552" t="s">
        <v>276</v>
      </c>
      <c r="C154" s="251"/>
      <c r="D154" s="251"/>
      <c r="E154" s="393"/>
      <c r="F154" s="394"/>
      <c r="G154" s="265">
        <f t="shared" si="7"/>
        <v>0</v>
      </c>
      <c r="H154" s="296">
        <f t="shared" si="8"/>
        <v>0</v>
      </c>
      <c r="I154" s="417" t="e">
        <f t="shared" si="6"/>
        <v>#DIV/0!</v>
      </c>
    </row>
    <row r="155" spans="1:9" ht="24">
      <c r="A155" s="527" t="s">
        <v>607</v>
      </c>
      <c r="B155" s="555" t="s">
        <v>309</v>
      </c>
      <c r="C155" s="249">
        <f>C156</f>
        <v>436100</v>
      </c>
      <c r="D155" s="249">
        <f>D156</f>
        <v>436100</v>
      </c>
      <c r="E155" s="393"/>
      <c r="F155" s="394"/>
      <c r="G155" s="263">
        <f t="shared" si="7"/>
        <v>436100</v>
      </c>
      <c r="H155" s="294">
        <f t="shared" si="8"/>
        <v>0</v>
      </c>
      <c r="I155" s="417">
        <f t="shared" si="6"/>
        <v>100</v>
      </c>
    </row>
    <row r="156" spans="1:9" ht="24">
      <c r="A156" s="401" t="s">
        <v>608</v>
      </c>
      <c r="B156" s="552" t="s">
        <v>310</v>
      </c>
      <c r="C156" s="251">
        <v>436100</v>
      </c>
      <c r="D156" s="251">
        <v>436100</v>
      </c>
      <c r="E156" s="393"/>
      <c r="F156" s="394"/>
      <c r="G156" s="265">
        <f t="shared" si="7"/>
        <v>436100</v>
      </c>
      <c r="H156" s="296">
        <f t="shared" si="8"/>
        <v>0</v>
      </c>
      <c r="I156" s="417">
        <f t="shared" si="6"/>
        <v>100</v>
      </c>
    </row>
    <row r="157" spans="1:9" ht="24">
      <c r="A157" s="527" t="s">
        <v>699</v>
      </c>
      <c r="B157" s="555" t="s">
        <v>311</v>
      </c>
      <c r="C157" s="249">
        <f>C158</f>
        <v>7800</v>
      </c>
      <c r="D157" s="249">
        <f>D158</f>
        <v>7800</v>
      </c>
      <c r="E157" s="393"/>
      <c r="F157" s="394"/>
      <c r="G157" s="263">
        <f t="shared" si="7"/>
        <v>7800</v>
      </c>
      <c r="H157" s="294">
        <f t="shared" si="8"/>
        <v>0</v>
      </c>
      <c r="I157" s="417">
        <f t="shared" si="6"/>
        <v>100</v>
      </c>
    </row>
    <row r="158" spans="1:9" ht="18.75" customHeight="1">
      <c r="A158" s="208" t="s">
        <v>142</v>
      </c>
      <c r="B158" s="211" t="s">
        <v>312</v>
      </c>
      <c r="C158" s="254">
        <v>7800</v>
      </c>
      <c r="D158" s="254">
        <v>7800</v>
      </c>
      <c r="E158" s="393"/>
      <c r="F158" s="394"/>
      <c r="G158" s="265">
        <f t="shared" si="7"/>
        <v>7800</v>
      </c>
      <c r="H158" s="296">
        <f t="shared" si="8"/>
        <v>0</v>
      </c>
      <c r="I158" s="417">
        <f t="shared" si="6"/>
        <v>100</v>
      </c>
    </row>
    <row r="159" spans="1:9" ht="17.45" customHeight="1">
      <c r="A159" s="526" t="s">
        <v>687</v>
      </c>
      <c r="B159" s="549" t="s">
        <v>830</v>
      </c>
      <c r="C159" s="252">
        <f>C164+C160+C162</f>
        <v>3789645.97</v>
      </c>
      <c r="D159" s="338">
        <f>D164+D160+D162</f>
        <v>2978294.66</v>
      </c>
      <c r="E159" s="379"/>
      <c r="F159" s="380"/>
      <c r="G159" s="261">
        <f t="shared" si="7"/>
        <v>2978294.66</v>
      </c>
      <c r="H159" s="292">
        <f t="shared" si="8"/>
        <v>811351.31</v>
      </c>
      <c r="I159" s="417">
        <f t="shared" si="6"/>
        <v>78.590313807070473</v>
      </c>
    </row>
    <row r="160" spans="1:9" ht="24.95" hidden="1" customHeight="1">
      <c r="A160" s="407" t="s">
        <v>738</v>
      </c>
      <c r="B160" s="556" t="s">
        <v>313</v>
      </c>
      <c r="C160" s="326">
        <f>C161</f>
        <v>0</v>
      </c>
      <c r="D160" s="326">
        <f>D161</f>
        <v>0</v>
      </c>
      <c r="E160" s="334"/>
      <c r="F160" s="328"/>
      <c r="G160" s="326">
        <f>G161</f>
        <v>0</v>
      </c>
      <c r="H160" s="329">
        <f>C160-G160</f>
        <v>0</v>
      </c>
      <c r="I160" s="417" t="e">
        <f t="shared" si="6"/>
        <v>#DIV/0!</v>
      </c>
    </row>
    <row r="161" spans="1:9" ht="26.45" hidden="1" customHeight="1">
      <c r="A161" s="416" t="s">
        <v>688</v>
      </c>
      <c r="B161" s="554" t="s">
        <v>301</v>
      </c>
      <c r="C161" s="327">
        <v>0</v>
      </c>
      <c r="D161" s="327">
        <v>0</v>
      </c>
      <c r="E161" s="331"/>
      <c r="F161" s="284"/>
      <c r="G161" s="330">
        <f>D161</f>
        <v>0</v>
      </c>
      <c r="H161" s="329">
        <f>C161-G161</f>
        <v>0</v>
      </c>
      <c r="I161" s="417" t="e">
        <f t="shared" ref="I161:I174" si="11">D161/C161*100</f>
        <v>#DIV/0!</v>
      </c>
    </row>
    <row r="162" spans="1:9" ht="18" customHeight="1">
      <c r="A162" s="400" t="s">
        <v>615</v>
      </c>
      <c r="B162" s="550" t="s">
        <v>489</v>
      </c>
      <c r="C162" s="257">
        <f>C163</f>
        <v>3789645.97</v>
      </c>
      <c r="D162" s="339">
        <f>D163</f>
        <v>2978294.66</v>
      </c>
      <c r="E162" s="333"/>
      <c r="F162" s="286"/>
      <c r="G162" s="262">
        <f t="shared" ref="G162:G163" si="12">D162</f>
        <v>2978294.66</v>
      </c>
      <c r="H162" s="293">
        <f t="shared" ref="H162:H163" si="13">C162-D162</f>
        <v>811351.31</v>
      </c>
      <c r="I162" s="417">
        <f t="shared" ref="I162:I163" si="14">D162/C162*100</f>
        <v>78.590313807070473</v>
      </c>
    </row>
    <row r="163" spans="1:9" ht="17.100000000000001" customHeight="1">
      <c r="A163" s="401" t="s">
        <v>927</v>
      </c>
      <c r="B163" s="552" t="s">
        <v>928</v>
      </c>
      <c r="C163" s="258">
        <v>3789645.97</v>
      </c>
      <c r="D163" s="370">
        <v>2978294.66</v>
      </c>
      <c r="E163" s="393"/>
      <c r="F163" s="286"/>
      <c r="G163" s="265">
        <f t="shared" si="12"/>
        <v>2978294.66</v>
      </c>
      <c r="H163" s="296">
        <f t="shared" si="13"/>
        <v>811351.31</v>
      </c>
      <c r="I163" s="417">
        <f t="shared" si="14"/>
        <v>78.590313807070473</v>
      </c>
    </row>
    <row r="164" spans="1:9" ht="18" hidden="1" customHeight="1">
      <c r="A164" s="400" t="s">
        <v>930</v>
      </c>
      <c r="B164" s="550" t="s">
        <v>929</v>
      </c>
      <c r="C164" s="257">
        <f>C165</f>
        <v>0</v>
      </c>
      <c r="D164" s="339">
        <f>D165</f>
        <v>0</v>
      </c>
      <c r="E164" s="333"/>
      <c r="F164" s="286"/>
      <c r="G164" s="262">
        <f t="shared" si="7"/>
        <v>0</v>
      </c>
      <c r="H164" s="293">
        <f t="shared" si="8"/>
        <v>0</v>
      </c>
      <c r="I164" s="417" t="e">
        <f t="shared" si="11"/>
        <v>#DIV/0!</v>
      </c>
    </row>
    <row r="165" spans="1:9" ht="24" hidden="1" customHeight="1">
      <c r="A165" s="401" t="s">
        <v>921</v>
      </c>
      <c r="B165" s="552" t="s">
        <v>920</v>
      </c>
      <c r="C165" s="258">
        <v>0</v>
      </c>
      <c r="D165" s="370">
        <v>0</v>
      </c>
      <c r="E165" s="333"/>
      <c r="F165" s="286"/>
      <c r="G165" s="265">
        <f t="shared" si="7"/>
        <v>0</v>
      </c>
      <c r="H165" s="296">
        <f t="shared" si="8"/>
        <v>0</v>
      </c>
      <c r="I165" s="417" t="e">
        <f t="shared" si="11"/>
        <v>#DIV/0!</v>
      </c>
    </row>
    <row r="166" spans="1:9" ht="18" hidden="1" customHeight="1">
      <c r="A166" s="526" t="s">
        <v>835</v>
      </c>
      <c r="B166" s="549" t="s">
        <v>836</v>
      </c>
      <c r="C166" s="252">
        <f>C171+C167</f>
        <v>0</v>
      </c>
      <c r="D166" s="338">
        <f>D167</f>
        <v>0</v>
      </c>
      <c r="E166" s="379"/>
      <c r="F166" s="380"/>
      <c r="G166" s="261">
        <f t="shared" si="7"/>
        <v>0</v>
      </c>
      <c r="H166" s="292">
        <f t="shared" si="8"/>
        <v>0</v>
      </c>
      <c r="I166" s="417" t="e">
        <f t="shared" si="11"/>
        <v>#DIV/0!</v>
      </c>
    </row>
    <row r="167" spans="1:9" ht="18" hidden="1" customHeight="1">
      <c r="A167" s="400" t="s">
        <v>833</v>
      </c>
      <c r="B167" s="550" t="s">
        <v>834</v>
      </c>
      <c r="C167" s="257">
        <f>C168</f>
        <v>0</v>
      </c>
      <c r="D167" s="339">
        <f>D168</f>
        <v>0</v>
      </c>
      <c r="E167" s="333"/>
      <c r="F167" s="286"/>
      <c r="G167" s="262">
        <f t="shared" si="7"/>
        <v>0</v>
      </c>
      <c r="H167" s="293">
        <f t="shared" si="8"/>
        <v>0</v>
      </c>
      <c r="I167" s="417" t="e">
        <f t="shared" si="11"/>
        <v>#DIV/0!</v>
      </c>
    </row>
    <row r="168" spans="1:9" ht="1.5" hidden="1" customHeight="1">
      <c r="A168" s="401" t="s">
        <v>832</v>
      </c>
      <c r="B168" s="552" t="s">
        <v>831</v>
      </c>
      <c r="C168" s="258">
        <v>0</v>
      </c>
      <c r="D168" s="370">
        <v>0</v>
      </c>
      <c r="E168" s="393"/>
      <c r="F168" s="286"/>
      <c r="G168" s="265">
        <f t="shared" si="7"/>
        <v>0</v>
      </c>
      <c r="H168" s="296">
        <f t="shared" si="8"/>
        <v>0</v>
      </c>
      <c r="I168" s="417" t="e">
        <f t="shared" si="11"/>
        <v>#DIV/0!</v>
      </c>
    </row>
    <row r="169" spans="1:9" ht="18" customHeight="1" thickBot="1">
      <c r="A169" s="526" t="s">
        <v>923</v>
      </c>
      <c r="B169" s="549" t="s">
        <v>924</v>
      </c>
      <c r="C169" s="252">
        <f>C170</f>
        <v>0</v>
      </c>
      <c r="D169" s="252">
        <f>D170</f>
        <v>0</v>
      </c>
      <c r="E169" s="570"/>
      <c r="F169" s="568"/>
      <c r="G169" s="292">
        <f t="shared" si="7"/>
        <v>0</v>
      </c>
      <c r="H169" s="292">
        <f t="shared" si="8"/>
        <v>0</v>
      </c>
      <c r="I169" s="417" t="e">
        <f t="shared" si="11"/>
        <v>#DIV/0!</v>
      </c>
    </row>
    <row r="170" spans="1:9" ht="17.100000000000001" hidden="1" customHeight="1" thickBot="1">
      <c r="A170" s="401" t="s">
        <v>925</v>
      </c>
      <c r="B170" s="552" t="s">
        <v>926</v>
      </c>
      <c r="C170" s="258">
        <v>0</v>
      </c>
      <c r="D170" s="370">
        <v>0</v>
      </c>
      <c r="E170" s="569"/>
      <c r="F170" s="286"/>
      <c r="G170" s="265">
        <f t="shared" si="7"/>
        <v>0</v>
      </c>
      <c r="H170" s="296">
        <f t="shared" si="8"/>
        <v>0</v>
      </c>
      <c r="I170" s="417" t="e">
        <f t="shared" si="11"/>
        <v>#DIV/0!</v>
      </c>
    </row>
    <row r="171" spans="1:9" ht="27" hidden="1" customHeight="1" thickBot="1">
      <c r="A171" s="528" t="s">
        <v>491</v>
      </c>
      <c r="B171" s="557" t="s">
        <v>490</v>
      </c>
      <c r="C171" s="252">
        <f>C172</f>
        <v>0</v>
      </c>
      <c r="D171" s="338">
        <f>D172</f>
        <v>0</v>
      </c>
      <c r="E171" s="332"/>
      <c r="F171" s="285"/>
      <c r="G171" s="261">
        <f t="shared" si="7"/>
        <v>0</v>
      </c>
      <c r="H171" s="292">
        <f t="shared" si="8"/>
        <v>0</v>
      </c>
      <c r="I171" s="417" t="e">
        <f t="shared" si="11"/>
        <v>#DIV/0!</v>
      </c>
    </row>
    <row r="172" spans="1:9" ht="35.1" hidden="1" customHeight="1" thickBot="1">
      <c r="A172" s="504" t="s">
        <v>492</v>
      </c>
      <c r="B172" s="558" t="s">
        <v>488</v>
      </c>
      <c r="C172" s="258">
        <v>0</v>
      </c>
      <c r="D172" s="340">
        <v>0</v>
      </c>
      <c r="E172" s="335"/>
      <c r="F172" s="287"/>
      <c r="G172" s="281">
        <f t="shared" si="7"/>
        <v>0</v>
      </c>
      <c r="H172" s="304">
        <f t="shared" si="8"/>
        <v>0</v>
      </c>
      <c r="I172" s="417" t="e">
        <f t="shared" si="11"/>
        <v>#DIV/0!</v>
      </c>
    </row>
    <row r="173" spans="1:9" ht="18" customHeight="1" thickBot="1">
      <c r="A173" s="529" t="s">
        <v>700</v>
      </c>
      <c r="B173" s="559" t="s">
        <v>96</v>
      </c>
      <c r="C173" s="260">
        <f>C18+C134</f>
        <v>49056915.489999995</v>
      </c>
      <c r="D173" s="259">
        <f>D18+D134</f>
        <v>48756303.289999992</v>
      </c>
      <c r="E173" s="336"/>
      <c r="F173" s="288"/>
      <c r="G173" s="282">
        <f t="shared" si="7"/>
        <v>48756303.289999992</v>
      </c>
      <c r="H173" s="305">
        <f t="shared" si="8"/>
        <v>300612.20000000298</v>
      </c>
      <c r="I173" s="417">
        <f t="shared" si="11"/>
        <v>99.387217486062113</v>
      </c>
    </row>
    <row r="174" spans="1:9" ht="21" customHeight="1" thickBot="1">
      <c r="A174" s="530" t="s">
        <v>609</v>
      </c>
      <c r="B174" s="560" t="s">
        <v>277</v>
      </c>
      <c r="C174" s="259">
        <f>C173</f>
        <v>49056915.489999995</v>
      </c>
      <c r="D174" s="259">
        <f>D173</f>
        <v>48756303.289999992</v>
      </c>
      <c r="E174" s="337"/>
      <c r="F174" s="289"/>
      <c r="G174" s="266">
        <f t="shared" si="7"/>
        <v>48756303.289999992</v>
      </c>
      <c r="H174" s="306">
        <f t="shared" si="8"/>
        <v>300612.20000000298</v>
      </c>
      <c r="I174" s="417">
        <f t="shared" si="11"/>
        <v>99.387217486062113</v>
      </c>
    </row>
  </sheetData>
  <mergeCells count="3">
    <mergeCell ref="B6:F6"/>
    <mergeCell ref="B10:D10"/>
    <mergeCell ref="A1:D2"/>
  </mergeCells>
  <phoneticPr fontId="4" type="noConversion"/>
  <pageMargins left="0.31496062992125984" right="0.19685039370078741" top="0.35433070866141736" bottom="0.39370078740157483" header="0.55118110236220474" footer="0.31496062992125984"/>
  <pageSetup paperSize="9" scale="8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AS514"/>
  <sheetViews>
    <sheetView view="pageBreakPreview" topLeftCell="A22" zoomScaleSheetLayoutView="100" workbookViewId="0">
      <selection activeCell="A25" sqref="A25"/>
    </sheetView>
  </sheetViews>
  <sheetFormatPr defaultRowHeight="12.75"/>
  <cols>
    <col min="1" max="1" width="43.140625" style="420" customWidth="1"/>
    <col min="2" max="2" width="4.140625" customWidth="1"/>
    <col min="3" max="3" width="20.28515625" customWidth="1"/>
    <col min="4" max="4" width="15.42578125" customWidth="1"/>
    <col min="5" max="5" width="14.5703125" customWidth="1"/>
    <col min="6" max="6" width="1.5703125" hidden="1" customWidth="1"/>
    <col min="7" max="7" width="14.5703125" customWidth="1"/>
    <col min="8" max="8" width="7.5703125" customWidth="1"/>
    <col min="9" max="9" width="12" style="109" hidden="1" customWidth="1"/>
    <col min="10" max="10" width="11.5703125" style="109" hidden="1" customWidth="1"/>
    <col min="11" max="12" width="11.85546875" style="109" hidden="1" customWidth="1"/>
    <col min="13" max="13" width="13.5703125" style="109" hidden="1" customWidth="1"/>
    <col min="14" max="14" width="12" style="109" hidden="1" customWidth="1"/>
    <col min="15" max="15" width="13.42578125" style="109" hidden="1" customWidth="1"/>
    <col min="16" max="16" width="12.42578125" style="109" hidden="1" customWidth="1"/>
    <col min="17" max="17" width="14.42578125" style="109" hidden="1" customWidth="1"/>
    <col min="18" max="18" width="12.5703125" style="109" hidden="1" customWidth="1"/>
    <col min="19" max="19" width="14.85546875" style="109" hidden="1" customWidth="1"/>
    <col min="20" max="20" width="12.42578125" style="109" hidden="1" customWidth="1"/>
    <col min="21" max="21" width="12" style="109" hidden="1" customWidth="1"/>
    <col min="22" max="22" width="11.42578125" style="109" hidden="1" customWidth="1"/>
    <col min="23" max="23" width="13.42578125" style="109" hidden="1" customWidth="1"/>
    <col min="24" max="25" width="12" style="109" hidden="1" customWidth="1"/>
    <col min="26" max="27" width="11.42578125" style="109" hidden="1" customWidth="1"/>
    <col min="28" max="28" width="13.42578125" style="109" hidden="1" customWidth="1"/>
    <col min="29" max="29" width="12.42578125" style="109" hidden="1" customWidth="1"/>
    <col min="30" max="30" width="11.42578125" style="109" hidden="1" customWidth="1"/>
    <col min="31" max="31" width="0.42578125" style="109" hidden="1" customWidth="1"/>
    <col min="32" max="32" width="2.42578125" style="109" hidden="1" customWidth="1"/>
    <col min="33" max="33" width="14.5703125" style="186" hidden="1" customWidth="1"/>
    <col min="34" max="34" width="16.140625" style="186" hidden="1" customWidth="1"/>
    <col min="35" max="35" width="6.85546875" customWidth="1"/>
    <col min="36" max="36" width="14.140625" customWidth="1"/>
    <col min="37" max="37" width="14.42578125" customWidth="1"/>
    <col min="38" max="38" width="14.140625" customWidth="1"/>
    <col min="39" max="44" width="13.42578125" hidden="1" customWidth="1"/>
    <col min="45" max="45" width="10.5703125" style="417" customWidth="1"/>
  </cols>
  <sheetData>
    <row r="1" spans="1:45" hidden="1"/>
    <row r="2" spans="1:45" ht="15">
      <c r="B2" s="19"/>
      <c r="C2" s="7"/>
      <c r="D2" s="6"/>
      <c r="E2" s="6"/>
      <c r="F2" s="6"/>
      <c r="G2" s="6"/>
      <c r="H2" s="6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202"/>
      <c r="AH2" s="202"/>
      <c r="AI2" s="6"/>
      <c r="AJ2" s="6"/>
      <c r="AK2" s="6" t="s">
        <v>762</v>
      </c>
      <c r="AL2" s="13"/>
      <c r="AM2" s="13"/>
      <c r="AN2" s="13"/>
      <c r="AO2" s="13"/>
      <c r="AP2" s="13"/>
      <c r="AQ2" s="13"/>
      <c r="AR2" s="13"/>
    </row>
    <row r="3" spans="1:45" ht="13.5" thickBot="1">
      <c r="A3" s="421"/>
      <c r="B3" s="26"/>
      <c r="C3" s="27"/>
      <c r="D3" s="28"/>
      <c r="E3" s="28"/>
      <c r="F3" s="28"/>
      <c r="G3" s="28"/>
      <c r="H3" s="28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203"/>
      <c r="AH3" s="203"/>
      <c r="AI3" s="28"/>
      <c r="AJ3" s="28"/>
      <c r="AK3" s="28"/>
      <c r="AL3" s="29"/>
      <c r="AM3" s="29"/>
      <c r="AN3" s="29"/>
      <c r="AO3" s="29"/>
      <c r="AP3" s="29"/>
      <c r="AQ3" s="29"/>
      <c r="AR3" s="29"/>
    </row>
    <row r="4" spans="1:45">
      <c r="A4" s="583" t="s">
        <v>776</v>
      </c>
      <c r="B4" s="30"/>
      <c r="C4" s="31"/>
      <c r="D4" s="37" t="s">
        <v>20</v>
      </c>
      <c r="E4" s="45" t="s">
        <v>22</v>
      </c>
      <c r="F4" s="47"/>
      <c r="G4" s="47"/>
      <c r="H4" s="32"/>
      <c r="I4" s="200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313"/>
      <c r="AH4" s="313"/>
      <c r="AI4" s="32"/>
      <c r="AJ4" s="45"/>
      <c r="AK4" s="52" t="s">
        <v>35</v>
      </c>
      <c r="AL4" s="45"/>
      <c r="AM4" s="11"/>
      <c r="AN4" s="11"/>
      <c r="AO4" s="11"/>
      <c r="AP4" s="11"/>
      <c r="AQ4" s="11"/>
      <c r="AR4" s="11"/>
    </row>
    <row r="5" spans="1:45" ht="13.5" thickBot="1">
      <c r="A5" s="584"/>
      <c r="B5" s="123" t="s">
        <v>49</v>
      </c>
      <c r="C5" s="38" t="s">
        <v>19</v>
      </c>
      <c r="D5" s="39" t="s">
        <v>29</v>
      </c>
      <c r="E5" s="108" t="s">
        <v>23</v>
      </c>
      <c r="F5" s="48"/>
      <c r="G5" s="48"/>
      <c r="H5" s="42"/>
      <c r="I5" s="199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314"/>
      <c r="AH5" s="314"/>
      <c r="AI5" s="42"/>
      <c r="AJ5" s="50"/>
      <c r="AK5" s="53" t="s">
        <v>36</v>
      </c>
      <c r="AL5" s="50"/>
      <c r="AM5" s="11"/>
      <c r="AN5" s="11"/>
      <c r="AO5" s="11"/>
      <c r="AP5" s="11"/>
      <c r="AQ5" s="11"/>
      <c r="AR5" s="11"/>
    </row>
    <row r="6" spans="1:45">
      <c r="A6" s="585"/>
      <c r="B6" s="123" t="s">
        <v>750</v>
      </c>
      <c r="C6" s="91" t="s">
        <v>25</v>
      </c>
      <c r="D6" s="39" t="s">
        <v>30</v>
      </c>
      <c r="E6" s="108" t="s">
        <v>24</v>
      </c>
      <c r="F6" s="37"/>
      <c r="G6" s="37" t="s">
        <v>783</v>
      </c>
      <c r="H6" s="51" t="s">
        <v>4</v>
      </c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206"/>
      <c r="AH6" s="206"/>
      <c r="AI6" s="11" t="s">
        <v>7</v>
      </c>
      <c r="AJ6" s="37"/>
      <c r="AK6" s="11" t="s">
        <v>37</v>
      </c>
      <c r="AL6" s="37" t="s">
        <v>37</v>
      </c>
      <c r="AM6" s="11"/>
      <c r="AN6" s="11"/>
      <c r="AO6" s="11"/>
      <c r="AP6" s="11"/>
      <c r="AQ6" s="11"/>
      <c r="AR6" s="11"/>
    </row>
    <row r="7" spans="1:45">
      <c r="A7" s="585"/>
      <c r="B7" s="123"/>
      <c r="C7" s="91" t="s">
        <v>26</v>
      </c>
      <c r="D7" s="39" t="s">
        <v>21</v>
      </c>
      <c r="E7" s="108" t="s">
        <v>728</v>
      </c>
      <c r="F7" s="39"/>
      <c r="G7" s="39" t="s">
        <v>784</v>
      </c>
      <c r="H7" s="39" t="s">
        <v>5</v>
      </c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207"/>
      <c r="AH7" s="207"/>
      <c r="AI7" s="11" t="s">
        <v>8</v>
      </c>
      <c r="AJ7" s="39" t="s">
        <v>9</v>
      </c>
      <c r="AK7" s="11" t="s">
        <v>57</v>
      </c>
      <c r="AL7" s="39" t="s">
        <v>38</v>
      </c>
      <c r="AM7" s="11"/>
      <c r="AN7" s="11"/>
      <c r="AO7" s="11"/>
      <c r="AP7" s="11"/>
      <c r="AQ7" s="11"/>
      <c r="AR7" s="11"/>
    </row>
    <row r="8" spans="1:45">
      <c r="A8" s="585"/>
      <c r="B8" s="123"/>
      <c r="C8" s="91" t="s">
        <v>27</v>
      </c>
      <c r="D8" s="39" t="s">
        <v>33</v>
      </c>
      <c r="E8" s="108" t="s">
        <v>1015</v>
      </c>
      <c r="F8" s="39"/>
      <c r="G8" s="39" t="s">
        <v>0</v>
      </c>
      <c r="H8" s="39" t="s">
        <v>6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207"/>
      <c r="AH8" s="207"/>
      <c r="AI8" s="11"/>
      <c r="AJ8" s="39"/>
      <c r="AK8" s="11" t="s">
        <v>58</v>
      </c>
      <c r="AL8" s="39" t="s">
        <v>23</v>
      </c>
      <c r="AM8" s="11"/>
      <c r="AN8" s="11"/>
      <c r="AO8" s="11"/>
      <c r="AP8" s="11"/>
      <c r="AQ8" s="11"/>
      <c r="AR8" s="11"/>
    </row>
    <row r="9" spans="1:45">
      <c r="A9" s="585"/>
      <c r="B9" s="123"/>
      <c r="C9" s="91" t="s">
        <v>28</v>
      </c>
      <c r="D9" s="39" t="s">
        <v>34</v>
      </c>
      <c r="E9" s="130"/>
      <c r="F9" s="39"/>
      <c r="G9" s="39" t="s">
        <v>1</v>
      </c>
      <c r="H9" s="39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8"/>
      <c r="Y9" s="197"/>
      <c r="Z9" s="197"/>
      <c r="AA9" s="197"/>
      <c r="AB9" s="197"/>
      <c r="AC9" s="197"/>
      <c r="AD9" s="197"/>
      <c r="AE9" s="197"/>
      <c r="AF9" s="197"/>
      <c r="AG9" s="207"/>
      <c r="AH9" s="207"/>
      <c r="AI9" s="11"/>
      <c r="AJ9" s="39"/>
      <c r="AK9" s="11"/>
      <c r="AL9" s="39" t="s">
        <v>24</v>
      </c>
      <c r="AM9" s="11"/>
      <c r="AN9" s="11"/>
      <c r="AO9" s="11"/>
      <c r="AP9" s="11"/>
      <c r="AQ9" s="11"/>
      <c r="AR9" s="11"/>
    </row>
    <row r="10" spans="1:45">
      <c r="A10" s="585"/>
      <c r="B10" s="123"/>
      <c r="C10" s="444"/>
      <c r="D10" s="39" t="s">
        <v>31</v>
      </c>
      <c r="E10" s="108"/>
      <c r="F10" s="39"/>
      <c r="G10" s="39" t="s">
        <v>2</v>
      </c>
      <c r="H10" s="39"/>
      <c r="I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207"/>
      <c r="AH10" s="207"/>
      <c r="AI10" s="11"/>
      <c r="AJ10" s="39"/>
      <c r="AK10" s="11"/>
      <c r="AL10" s="39"/>
      <c r="AM10" s="11"/>
      <c r="AN10" s="11"/>
      <c r="AO10" s="11"/>
      <c r="AP10" s="11"/>
      <c r="AQ10" s="11"/>
      <c r="AR10" s="11"/>
    </row>
    <row r="11" spans="1:45" ht="12" customHeight="1" thickBot="1">
      <c r="A11" s="586"/>
      <c r="B11" s="124"/>
      <c r="C11" s="92"/>
      <c r="D11" s="39"/>
      <c r="E11" s="50"/>
      <c r="F11" s="43"/>
      <c r="G11" s="43" t="s">
        <v>3</v>
      </c>
      <c r="H11" s="43"/>
      <c r="I11" s="197" t="s">
        <v>393</v>
      </c>
      <c r="J11" s="197" t="s">
        <v>171</v>
      </c>
      <c r="K11" s="197" t="s">
        <v>172</v>
      </c>
      <c r="L11" s="197" t="s">
        <v>722</v>
      </c>
      <c r="M11" s="197" t="s">
        <v>723</v>
      </c>
      <c r="N11" s="197" t="s">
        <v>724</v>
      </c>
      <c r="O11" s="197" t="s">
        <v>577</v>
      </c>
      <c r="P11" s="197" t="s">
        <v>578</v>
      </c>
      <c r="Q11" s="199" t="s">
        <v>383</v>
      </c>
      <c r="R11" s="199" t="s">
        <v>384</v>
      </c>
      <c r="S11" s="199" t="s">
        <v>385</v>
      </c>
      <c r="T11" s="199" t="s">
        <v>173</v>
      </c>
      <c r="U11" s="199" t="s">
        <v>174</v>
      </c>
      <c r="V11" s="199" t="s">
        <v>175</v>
      </c>
      <c r="W11" s="199" t="s">
        <v>176</v>
      </c>
      <c r="X11" s="199"/>
      <c r="Y11" s="199"/>
      <c r="Z11" s="199"/>
      <c r="AA11" s="199"/>
      <c r="AB11" s="199"/>
      <c r="AC11" s="199"/>
      <c r="AD11" s="199"/>
      <c r="AE11" s="199"/>
      <c r="AF11" s="199"/>
      <c r="AG11" s="205" t="s">
        <v>712</v>
      </c>
      <c r="AH11" s="205"/>
      <c r="AI11" s="42"/>
      <c r="AJ11" s="43"/>
      <c r="AK11" s="42"/>
      <c r="AL11" s="43"/>
      <c r="AM11" s="11"/>
      <c r="AN11" s="11"/>
      <c r="AO11" s="11"/>
      <c r="AP11" s="11"/>
      <c r="AQ11" s="11"/>
      <c r="AR11" s="11"/>
    </row>
    <row r="12" spans="1:45" ht="13.5" thickBot="1">
      <c r="A12" s="459">
        <v>1</v>
      </c>
      <c r="B12" s="149">
        <v>2</v>
      </c>
      <c r="C12" s="125">
        <v>3</v>
      </c>
      <c r="D12" s="179" t="s">
        <v>771</v>
      </c>
      <c r="E12" s="179" t="s">
        <v>772</v>
      </c>
      <c r="F12" s="37" t="s">
        <v>10</v>
      </c>
      <c r="G12" s="37" t="s">
        <v>10</v>
      </c>
      <c r="H12" s="32" t="s">
        <v>11</v>
      </c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4"/>
      <c r="AH12" s="204"/>
      <c r="AI12" s="37" t="s">
        <v>12</v>
      </c>
      <c r="AJ12" s="32" t="s">
        <v>32</v>
      </c>
      <c r="AK12" s="37" t="s">
        <v>39</v>
      </c>
      <c r="AL12" s="45" t="s">
        <v>52</v>
      </c>
      <c r="AM12" s="158"/>
      <c r="AN12" s="156"/>
      <c r="AO12" s="156"/>
      <c r="AP12" s="156"/>
      <c r="AQ12" s="156"/>
      <c r="AR12" s="11"/>
    </row>
    <row r="13" spans="1:45" ht="17.25" customHeight="1" thickBot="1">
      <c r="A13" s="422" t="s">
        <v>48</v>
      </c>
      <c r="B13" s="240"/>
      <c r="C13" s="240"/>
      <c r="D13" s="241">
        <f>D14+D112+D123+D162+D222+D352+D369+D454+D458+D472+D497</f>
        <v>32799658.75</v>
      </c>
      <c r="E13" s="241">
        <f>E14+E112+E123+E162+E222+E352+E369+E454+E458+E472+E497</f>
        <v>32799658.75</v>
      </c>
      <c r="F13" s="241" t="e">
        <f>F14+F112+F123+F162+F222+F352+F369+F472+F493+F458+F500</f>
        <v>#REF!</v>
      </c>
      <c r="G13" s="241">
        <f>G14+G112+G123+G162+G222+G352+G369+G472+G493+G458+G500+G454</f>
        <v>32237007.75</v>
      </c>
      <c r="H13" s="241"/>
      <c r="I13" s="317">
        <f>SUM(I14:I507)</f>
        <v>339548.6</v>
      </c>
      <c r="J13" s="317">
        <f t="shared" ref="J13:O13" si="0">SUM(J14:J507)</f>
        <v>3405.48</v>
      </c>
      <c r="K13" s="317">
        <f t="shared" si="0"/>
        <v>12745.4</v>
      </c>
      <c r="L13" s="317">
        <f t="shared" si="0"/>
        <v>4893.8999999999996</v>
      </c>
      <c r="M13" s="317">
        <f t="shared" si="0"/>
        <v>9922.64</v>
      </c>
      <c r="N13" s="317">
        <f t="shared" si="0"/>
        <v>75390</v>
      </c>
      <c r="O13" s="317">
        <f t="shared" si="0"/>
        <v>25518.2</v>
      </c>
      <c r="P13" s="317">
        <f t="shared" ref="P13:AC13" si="1">SUM(P14:P507)</f>
        <v>119459.27</v>
      </c>
      <c r="Q13" s="317">
        <f t="shared" si="1"/>
        <v>111956</v>
      </c>
      <c r="R13" s="317">
        <f t="shared" si="1"/>
        <v>44494.6</v>
      </c>
      <c r="S13" s="317">
        <f t="shared" si="1"/>
        <v>9800</v>
      </c>
      <c r="T13" s="317">
        <f t="shared" si="1"/>
        <v>0</v>
      </c>
      <c r="U13" s="317">
        <f t="shared" si="1"/>
        <v>28890.29</v>
      </c>
      <c r="V13" s="317">
        <f t="shared" si="1"/>
        <v>250577.47999999998</v>
      </c>
      <c r="W13" s="317">
        <f t="shared" si="1"/>
        <v>79038.59</v>
      </c>
      <c r="X13" s="317">
        <f t="shared" si="1"/>
        <v>0</v>
      </c>
      <c r="Y13" s="317">
        <f t="shared" si="1"/>
        <v>0</v>
      </c>
      <c r="Z13" s="317">
        <f t="shared" si="1"/>
        <v>0</v>
      </c>
      <c r="AA13" s="317">
        <f t="shared" si="1"/>
        <v>0</v>
      </c>
      <c r="AB13" s="317">
        <f t="shared" si="1"/>
        <v>0</v>
      </c>
      <c r="AC13" s="317">
        <f t="shared" si="1"/>
        <v>0</v>
      </c>
      <c r="AD13" s="317">
        <f>SUM(AD14:AD499)</f>
        <v>0</v>
      </c>
      <c r="AE13" s="317">
        <f>SUM(AE14:AE499)</f>
        <v>0</v>
      </c>
      <c r="AF13" s="317">
        <f>SUM(I13:AD13)</f>
        <v>1115640.45</v>
      </c>
      <c r="AG13" s="241">
        <f>SUM(AG14:AG507)</f>
        <v>1115640.45</v>
      </c>
      <c r="AH13" s="242" t="e">
        <f t="shared" ref="AH13:AH85" si="2">F13+AG13</f>
        <v>#REF!</v>
      </c>
      <c r="AI13" s="241"/>
      <c r="AJ13" s="241">
        <f>G13</f>
        <v>32237007.75</v>
      </c>
      <c r="AK13" s="243">
        <f t="shared" ref="AK13:AK36" si="3">D13-AJ13</f>
        <v>562651</v>
      </c>
      <c r="AL13" s="223">
        <f t="shared" ref="AL13:AL36" si="4">E13-AJ13</f>
        <v>562651</v>
      </c>
      <c r="AM13" s="159"/>
      <c r="AN13" s="113"/>
      <c r="AO13" s="113"/>
      <c r="AP13" s="113"/>
      <c r="AQ13" s="113"/>
      <c r="AR13" s="168"/>
    </row>
    <row r="14" spans="1:45" ht="17.25" customHeight="1" thickBot="1">
      <c r="A14" s="423" t="s">
        <v>146</v>
      </c>
      <c r="B14" s="224"/>
      <c r="C14" s="225" t="s">
        <v>145</v>
      </c>
      <c r="D14" s="226">
        <f>D15+D33</f>
        <v>5005914.9399999985</v>
      </c>
      <c r="E14" s="226">
        <f>E15+E33</f>
        <v>5005914.9399999985</v>
      </c>
      <c r="F14" s="226" t="e">
        <f t="shared" ref="F14" si="5">F15+F33</f>
        <v>#REF!</v>
      </c>
      <c r="G14" s="226">
        <f>G15+G33</f>
        <v>5001466.3099999996</v>
      </c>
      <c r="H14" s="226"/>
      <c r="I14" s="318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6">
        <f>SUM(I14:AF14)</f>
        <v>0</v>
      </c>
      <c r="AH14" s="315" t="e">
        <f t="shared" si="2"/>
        <v>#REF!</v>
      </c>
      <c r="AI14" s="228"/>
      <c r="AJ14" s="226">
        <f>G14</f>
        <v>5001466.3099999996</v>
      </c>
      <c r="AK14" s="227">
        <f t="shared" si="3"/>
        <v>4448.6299999989569</v>
      </c>
      <c r="AL14" s="229">
        <f t="shared" si="4"/>
        <v>4448.6299999989569</v>
      </c>
      <c r="AM14" s="160"/>
      <c r="AN14" s="116"/>
      <c r="AO14" s="116"/>
      <c r="AP14" s="116"/>
      <c r="AQ14" s="116"/>
      <c r="AR14" s="169"/>
      <c r="AS14" s="417">
        <f>G14/E14*100</f>
        <v>99.911132529151629</v>
      </c>
    </row>
    <row r="15" spans="1:45" ht="15" customHeight="1" thickBot="1">
      <c r="A15" s="424" t="s">
        <v>133</v>
      </c>
      <c r="B15" s="230"/>
      <c r="C15" s="231" t="s">
        <v>342</v>
      </c>
      <c r="D15" s="232">
        <f>D16+D22+D28+D32+D30+D19+D84</f>
        <v>4659773.6099999985</v>
      </c>
      <c r="E15" s="232">
        <f>E16+E22+E28+E32+E30+E19+E84</f>
        <v>4659773.6099999985</v>
      </c>
      <c r="F15" s="232" t="e">
        <f>F16+F22+F28+F32+F30+F19+F84</f>
        <v>#REF!</v>
      </c>
      <c r="G15" s="232">
        <f>G16+G22+G28+G32+G30+G19+G84</f>
        <v>4659773.6099999994</v>
      </c>
      <c r="H15" s="232"/>
      <c r="I15" s="320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316">
        <f t="shared" ref="AG15:AG87" si="6">SUM(I15:AF15)</f>
        <v>0</v>
      </c>
      <c r="AH15" s="315" t="e">
        <f t="shared" si="2"/>
        <v>#REF!</v>
      </c>
      <c r="AI15" s="232"/>
      <c r="AJ15" s="232">
        <f t="shared" ref="AJ15:AJ36" si="7">G15</f>
        <v>4659773.6099999994</v>
      </c>
      <c r="AK15" s="233">
        <f t="shared" si="3"/>
        <v>0</v>
      </c>
      <c r="AL15" s="234">
        <f t="shared" si="4"/>
        <v>0</v>
      </c>
      <c r="AM15" s="160"/>
      <c r="AN15" s="116"/>
      <c r="AO15" s="116"/>
      <c r="AP15" s="116"/>
      <c r="AQ15" s="116"/>
      <c r="AR15" s="169"/>
      <c r="AS15" s="417">
        <f t="shared" ref="AS15:AS83" si="8">G15/E15*100</f>
        <v>100.00000000000003</v>
      </c>
    </row>
    <row r="16" spans="1:45" ht="15" customHeight="1" thickBot="1">
      <c r="A16" s="424" t="s">
        <v>134</v>
      </c>
      <c r="B16" s="230"/>
      <c r="C16" s="231" t="s">
        <v>343</v>
      </c>
      <c r="D16" s="232">
        <f>D17+D21+D20+D18</f>
        <v>3678619.8499999996</v>
      </c>
      <c r="E16" s="232">
        <f>E17+E21+E20+E18</f>
        <v>3678619.8499999996</v>
      </c>
      <c r="F16" s="232">
        <f t="shared" ref="F16:G16" si="9">F17+F21+F20+F18</f>
        <v>1479665.88</v>
      </c>
      <c r="G16" s="232">
        <f t="shared" si="9"/>
        <v>3678619.85</v>
      </c>
      <c r="H16" s="232"/>
      <c r="I16" s="320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316">
        <f t="shared" si="6"/>
        <v>0</v>
      </c>
      <c r="AH16" s="315">
        <f t="shared" si="2"/>
        <v>1479665.88</v>
      </c>
      <c r="AI16" s="232"/>
      <c r="AJ16" s="232">
        <f t="shared" si="7"/>
        <v>3678619.85</v>
      </c>
      <c r="AK16" s="233">
        <f t="shared" si="3"/>
        <v>0</v>
      </c>
      <c r="AL16" s="234">
        <f t="shared" si="4"/>
        <v>0</v>
      </c>
      <c r="AM16" s="160"/>
      <c r="AN16" s="116"/>
      <c r="AO16" s="116"/>
      <c r="AP16" s="116"/>
      <c r="AQ16" s="116"/>
      <c r="AR16" s="169"/>
      <c r="AS16" s="417">
        <f t="shared" si="8"/>
        <v>100.00000000000003</v>
      </c>
    </row>
    <row r="17" spans="1:45" ht="14.45" customHeight="1" thickBot="1">
      <c r="A17" s="424" t="s">
        <v>85</v>
      </c>
      <c r="B17" s="230"/>
      <c r="C17" s="231" t="s">
        <v>344</v>
      </c>
      <c r="D17" s="232">
        <f>D38+D44+D50</f>
        <v>2832966.36</v>
      </c>
      <c r="E17" s="232">
        <f>E38+E44+E50</f>
        <v>2832966.36</v>
      </c>
      <c r="F17" s="232">
        <f>F38+F44+F50</f>
        <v>1094080.29</v>
      </c>
      <c r="G17" s="232">
        <f>G38+G44+G50</f>
        <v>2832966.36</v>
      </c>
      <c r="H17" s="232"/>
      <c r="I17" s="320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316">
        <f t="shared" si="6"/>
        <v>0</v>
      </c>
      <c r="AH17" s="315">
        <f t="shared" si="2"/>
        <v>1094080.29</v>
      </c>
      <c r="AI17" s="232"/>
      <c r="AJ17" s="232">
        <f t="shared" si="7"/>
        <v>2832966.36</v>
      </c>
      <c r="AK17" s="233">
        <f t="shared" si="3"/>
        <v>0</v>
      </c>
      <c r="AL17" s="234">
        <f t="shared" si="4"/>
        <v>0</v>
      </c>
      <c r="AM17" s="160"/>
      <c r="AN17" s="116"/>
      <c r="AO17" s="116"/>
      <c r="AP17" s="116"/>
      <c r="AQ17" s="116"/>
      <c r="AR17" s="169"/>
      <c r="AS17" s="417">
        <f t="shared" si="8"/>
        <v>100</v>
      </c>
    </row>
    <row r="18" spans="1:45" ht="26.1" hidden="1" customHeight="1" thickBot="1">
      <c r="A18" s="424" t="s">
        <v>972</v>
      </c>
      <c r="B18" s="230"/>
      <c r="C18" s="231" t="s">
        <v>703</v>
      </c>
      <c r="D18" s="232"/>
      <c r="E18" s="232"/>
      <c r="F18" s="232">
        <f t="shared" ref="F18" si="10">F39</f>
        <v>0</v>
      </c>
      <c r="G18" s="232"/>
      <c r="H18" s="232"/>
      <c r="I18" s="320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316"/>
      <c r="AH18" s="315"/>
      <c r="AI18" s="232"/>
      <c r="AJ18" s="232">
        <f t="shared" si="7"/>
        <v>0</v>
      </c>
      <c r="AK18" s="233">
        <f t="shared" si="3"/>
        <v>0</v>
      </c>
      <c r="AL18" s="234">
        <f t="shared" si="4"/>
        <v>0</v>
      </c>
      <c r="AM18" s="160"/>
      <c r="AN18" s="116"/>
      <c r="AO18" s="116"/>
      <c r="AP18" s="116"/>
      <c r="AQ18" s="116"/>
      <c r="AR18" s="169"/>
      <c r="AS18" s="417" t="e">
        <f t="shared" si="8"/>
        <v>#DIV/0!</v>
      </c>
    </row>
    <row r="19" spans="1:45" ht="22.5" customHeight="1" thickBot="1">
      <c r="A19" s="424" t="s">
        <v>740</v>
      </c>
      <c r="B19" s="230"/>
      <c r="C19" s="231" t="s">
        <v>571</v>
      </c>
      <c r="D19" s="232">
        <f>D51+D39</f>
        <v>6582.18</v>
      </c>
      <c r="E19" s="232">
        <f>E51+E39</f>
        <v>6582.18</v>
      </c>
      <c r="F19" s="232">
        <f t="shared" ref="F19:G19" si="11">F51+F39</f>
        <v>0</v>
      </c>
      <c r="G19" s="232">
        <f t="shared" si="11"/>
        <v>6582.18</v>
      </c>
      <c r="H19" s="232"/>
      <c r="I19" s="320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316"/>
      <c r="AH19" s="315"/>
      <c r="AI19" s="232"/>
      <c r="AJ19" s="232">
        <f t="shared" si="7"/>
        <v>6582.18</v>
      </c>
      <c r="AK19" s="233">
        <f t="shared" si="3"/>
        <v>0</v>
      </c>
      <c r="AL19" s="234">
        <f t="shared" si="4"/>
        <v>0</v>
      </c>
      <c r="AM19" s="160"/>
      <c r="AN19" s="116"/>
      <c r="AO19" s="116"/>
      <c r="AP19" s="116"/>
      <c r="AQ19" s="116"/>
      <c r="AR19" s="169"/>
      <c r="AS19" s="417">
        <f t="shared" si="8"/>
        <v>100</v>
      </c>
    </row>
    <row r="20" spans="1:45" ht="0.6" hidden="1" customHeight="1" thickBot="1">
      <c r="A20" s="424" t="s">
        <v>86</v>
      </c>
      <c r="B20" s="230"/>
      <c r="C20" s="231" t="s">
        <v>703</v>
      </c>
      <c r="D20" s="232"/>
      <c r="E20" s="232"/>
      <c r="F20" s="232">
        <f>F53</f>
        <v>15000</v>
      </c>
      <c r="G20" s="232"/>
      <c r="H20" s="232"/>
      <c r="I20" s="320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316">
        <f t="shared" si="6"/>
        <v>0</v>
      </c>
      <c r="AH20" s="315">
        <f t="shared" si="2"/>
        <v>15000</v>
      </c>
      <c r="AI20" s="232"/>
      <c r="AJ20" s="232">
        <f t="shared" si="7"/>
        <v>0</v>
      </c>
      <c r="AK20" s="233">
        <f t="shared" si="3"/>
        <v>0</v>
      </c>
      <c r="AL20" s="234">
        <f t="shared" si="4"/>
        <v>0</v>
      </c>
      <c r="AM20" s="160"/>
      <c r="AN20" s="116"/>
      <c r="AO20" s="116"/>
      <c r="AP20" s="116"/>
      <c r="AQ20" s="116"/>
      <c r="AR20" s="169"/>
      <c r="AS20" s="417" t="e">
        <f t="shared" si="8"/>
        <v>#DIV/0!</v>
      </c>
    </row>
    <row r="21" spans="1:45" ht="15" customHeight="1" thickBot="1">
      <c r="A21" s="424" t="s">
        <v>135</v>
      </c>
      <c r="B21" s="230"/>
      <c r="C21" s="231" t="s">
        <v>345</v>
      </c>
      <c r="D21" s="232">
        <f>D41+D45+D52</f>
        <v>845653.49</v>
      </c>
      <c r="E21" s="232">
        <f>E41+E45+E52</f>
        <v>845653.49</v>
      </c>
      <c r="F21" s="232">
        <f>F41+F45+F52</f>
        <v>370585.58999999997</v>
      </c>
      <c r="G21" s="232">
        <f>G41+G45+G52</f>
        <v>845653.49000000011</v>
      </c>
      <c r="H21" s="232"/>
      <c r="I21" s="320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316">
        <f t="shared" si="6"/>
        <v>0</v>
      </c>
      <c r="AH21" s="315">
        <f t="shared" si="2"/>
        <v>370585.58999999997</v>
      </c>
      <c r="AI21" s="232"/>
      <c r="AJ21" s="232">
        <f t="shared" si="7"/>
        <v>845653.49000000011</v>
      </c>
      <c r="AK21" s="233">
        <f t="shared" si="3"/>
        <v>0</v>
      </c>
      <c r="AL21" s="234">
        <f t="shared" si="4"/>
        <v>0</v>
      </c>
      <c r="AM21" s="160"/>
      <c r="AN21" s="116"/>
      <c r="AO21" s="116"/>
      <c r="AP21" s="116"/>
      <c r="AQ21" s="116"/>
      <c r="AR21" s="169"/>
      <c r="AS21" s="417">
        <f t="shared" si="8"/>
        <v>100.00000000000003</v>
      </c>
    </row>
    <row r="22" spans="1:45" ht="15" customHeight="1" thickBot="1">
      <c r="A22" s="424" t="s">
        <v>136</v>
      </c>
      <c r="B22" s="230"/>
      <c r="C22" s="231" t="s">
        <v>346</v>
      </c>
      <c r="D22" s="232">
        <f>D23+D27+D26+D24+D25</f>
        <v>587016.27</v>
      </c>
      <c r="E22" s="232">
        <f>E23+E27+E26+E24+E25</f>
        <v>587016.27</v>
      </c>
      <c r="F22" s="232">
        <f t="shared" ref="F22:G22" si="12">F23+F27+F26+F24+F25</f>
        <v>1368963.1099999999</v>
      </c>
      <c r="G22" s="232">
        <f t="shared" si="12"/>
        <v>587016.27</v>
      </c>
      <c r="H22" s="232"/>
      <c r="I22" s="320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316">
        <f t="shared" si="6"/>
        <v>0</v>
      </c>
      <c r="AH22" s="315">
        <f t="shared" si="2"/>
        <v>1368963.1099999999</v>
      </c>
      <c r="AI22" s="232"/>
      <c r="AJ22" s="232">
        <f t="shared" si="7"/>
        <v>587016.27</v>
      </c>
      <c r="AK22" s="233">
        <f t="shared" si="3"/>
        <v>0</v>
      </c>
      <c r="AL22" s="234">
        <f t="shared" si="4"/>
        <v>0</v>
      </c>
      <c r="AM22" s="160"/>
      <c r="AN22" s="116"/>
      <c r="AO22" s="116"/>
      <c r="AP22" s="116"/>
      <c r="AQ22" s="116"/>
      <c r="AR22" s="169"/>
      <c r="AS22" s="417">
        <f t="shared" si="8"/>
        <v>100</v>
      </c>
    </row>
    <row r="23" spans="1:45" ht="13.5" customHeight="1" thickBot="1">
      <c r="A23" s="424" t="s">
        <v>87</v>
      </c>
      <c r="B23" s="230"/>
      <c r="C23" s="231" t="s">
        <v>347</v>
      </c>
      <c r="D23" s="232">
        <f>D55+D68</f>
        <v>68628.649999999994</v>
      </c>
      <c r="E23" s="232">
        <f>E55+E68</f>
        <v>68628.649999999994</v>
      </c>
      <c r="F23" s="232">
        <f t="shared" ref="F23:G23" si="13">F55+F68</f>
        <v>0</v>
      </c>
      <c r="G23" s="232">
        <f t="shared" si="13"/>
        <v>68628.649999999994</v>
      </c>
      <c r="H23" s="232"/>
      <c r="I23" s="320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316">
        <f t="shared" si="6"/>
        <v>0</v>
      </c>
      <c r="AH23" s="315">
        <f t="shared" si="2"/>
        <v>0</v>
      </c>
      <c r="AI23" s="232"/>
      <c r="AJ23" s="232">
        <f t="shared" si="7"/>
        <v>68628.649999999994</v>
      </c>
      <c r="AK23" s="233">
        <f t="shared" si="3"/>
        <v>0</v>
      </c>
      <c r="AL23" s="234">
        <f t="shared" si="4"/>
        <v>0</v>
      </c>
      <c r="AM23" s="160"/>
      <c r="AN23" s="116"/>
      <c r="AO23" s="116"/>
      <c r="AP23" s="116"/>
      <c r="AQ23" s="116"/>
      <c r="AR23" s="169"/>
      <c r="AS23" s="417">
        <f t="shared" si="8"/>
        <v>100</v>
      </c>
    </row>
    <row r="24" spans="1:45" ht="14.1" hidden="1" customHeight="1" thickBot="1">
      <c r="A24" s="424" t="s">
        <v>137</v>
      </c>
      <c r="B24" s="230"/>
      <c r="C24" s="231" t="s">
        <v>1019</v>
      </c>
      <c r="D24" s="232">
        <f>D97</f>
        <v>0</v>
      </c>
      <c r="E24" s="232">
        <f>E97</f>
        <v>0</v>
      </c>
      <c r="F24" s="232">
        <f t="shared" ref="F24:G24" si="14">F97</f>
        <v>0</v>
      </c>
      <c r="G24" s="232">
        <f t="shared" si="14"/>
        <v>0</v>
      </c>
      <c r="H24" s="232"/>
      <c r="I24" s="320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316"/>
      <c r="AH24" s="315"/>
      <c r="AI24" s="232"/>
      <c r="AJ24" s="232">
        <f t="shared" si="7"/>
        <v>0</v>
      </c>
      <c r="AK24" s="233">
        <f t="shared" si="3"/>
        <v>0</v>
      </c>
      <c r="AL24" s="234">
        <f t="shared" si="4"/>
        <v>0</v>
      </c>
      <c r="AM24" s="160"/>
      <c r="AN24" s="116"/>
      <c r="AO24" s="116"/>
      <c r="AP24" s="116"/>
      <c r="AQ24" s="116"/>
      <c r="AR24" s="169"/>
      <c r="AS24" s="417" t="e">
        <f t="shared" si="8"/>
        <v>#DIV/0!</v>
      </c>
    </row>
    <row r="25" spans="1:45" ht="14.25" customHeight="1" thickBot="1">
      <c r="A25" s="476" t="s">
        <v>138</v>
      </c>
      <c r="B25" s="230"/>
      <c r="C25" s="231" t="s">
        <v>1018</v>
      </c>
      <c r="D25" s="232">
        <f>D56</f>
        <v>1433.62</v>
      </c>
      <c r="E25" s="232">
        <f>E56</f>
        <v>1433.62</v>
      </c>
      <c r="F25" s="232">
        <f t="shared" ref="F25:G25" si="15">F56</f>
        <v>0</v>
      </c>
      <c r="G25" s="232">
        <f t="shared" si="15"/>
        <v>1433.62</v>
      </c>
      <c r="H25" s="232"/>
      <c r="I25" s="320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316"/>
      <c r="AH25" s="315"/>
      <c r="AI25" s="232"/>
      <c r="AJ25" s="232">
        <f t="shared" ref="AJ25" si="16">G25</f>
        <v>1433.62</v>
      </c>
      <c r="AK25" s="233">
        <f t="shared" ref="AK25" si="17">D25-AJ25</f>
        <v>0</v>
      </c>
      <c r="AL25" s="234">
        <f t="shared" ref="AL25" si="18">E25-AJ25</f>
        <v>0</v>
      </c>
      <c r="AM25" s="160"/>
      <c r="AN25" s="116"/>
      <c r="AO25" s="116"/>
      <c r="AP25" s="116"/>
      <c r="AQ25" s="116"/>
      <c r="AR25" s="169"/>
      <c r="AS25" s="417">
        <f t="shared" ref="AS25" si="19">G25/E25*100</f>
        <v>100</v>
      </c>
    </row>
    <row r="26" spans="1:45" ht="14.25" customHeight="1" thickBot="1">
      <c r="A26" s="476" t="s">
        <v>139</v>
      </c>
      <c r="B26" s="230"/>
      <c r="C26" s="231" t="s">
        <v>348</v>
      </c>
      <c r="D26" s="232">
        <f>D57+D53</f>
        <v>48000</v>
      </c>
      <c r="E26" s="232">
        <f>E57+E53</f>
        <v>48000</v>
      </c>
      <c r="F26" s="232">
        <f t="shared" ref="F26:G26" si="20">F57</f>
        <v>15000</v>
      </c>
      <c r="G26" s="232">
        <f t="shared" si="20"/>
        <v>48000</v>
      </c>
      <c r="H26" s="232"/>
      <c r="I26" s="320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316"/>
      <c r="AH26" s="315"/>
      <c r="AI26" s="232"/>
      <c r="AJ26" s="232">
        <f t="shared" si="7"/>
        <v>48000</v>
      </c>
      <c r="AK26" s="233">
        <f t="shared" si="3"/>
        <v>0</v>
      </c>
      <c r="AL26" s="234">
        <f t="shared" si="4"/>
        <v>0</v>
      </c>
      <c r="AM26" s="160"/>
      <c r="AN26" s="116"/>
      <c r="AO26" s="116"/>
      <c r="AP26" s="116"/>
      <c r="AQ26" s="116"/>
      <c r="AR26" s="169"/>
      <c r="AS26" s="417">
        <f t="shared" si="8"/>
        <v>100</v>
      </c>
    </row>
    <row r="27" spans="1:45" ht="14.1" customHeight="1" thickBot="1">
      <c r="A27" s="424" t="s">
        <v>140</v>
      </c>
      <c r="B27" s="230"/>
      <c r="C27" s="231" t="s">
        <v>349</v>
      </c>
      <c r="D27" s="232">
        <f>D58+D90+D54+D40</f>
        <v>468954</v>
      </c>
      <c r="E27" s="232">
        <f>E58+E90+E54+E40</f>
        <v>468954</v>
      </c>
      <c r="F27" s="232">
        <f t="shared" ref="F27:G27" si="21">F58+F90+F54+F40</f>
        <v>1353963.1099999999</v>
      </c>
      <c r="G27" s="232">
        <f t="shared" si="21"/>
        <v>468954</v>
      </c>
      <c r="H27" s="232"/>
      <c r="I27" s="320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316">
        <f t="shared" si="6"/>
        <v>0</v>
      </c>
      <c r="AH27" s="315">
        <f t="shared" si="2"/>
        <v>1353963.1099999999</v>
      </c>
      <c r="AI27" s="232"/>
      <c r="AJ27" s="232">
        <f t="shared" si="7"/>
        <v>468954</v>
      </c>
      <c r="AK27" s="233">
        <f t="shared" si="3"/>
        <v>0</v>
      </c>
      <c r="AL27" s="234">
        <f t="shared" si="4"/>
        <v>0</v>
      </c>
      <c r="AM27" s="160"/>
      <c r="AN27" s="116"/>
      <c r="AO27" s="116"/>
      <c r="AP27" s="116"/>
      <c r="AQ27" s="116"/>
      <c r="AR27" s="169"/>
      <c r="AS27" s="417">
        <f t="shared" si="8"/>
        <v>100</v>
      </c>
    </row>
    <row r="28" spans="1:45" ht="21.6" hidden="1" customHeight="1" thickBot="1">
      <c r="A28" s="424" t="s">
        <v>707</v>
      </c>
      <c r="B28" s="230"/>
      <c r="C28" s="231" t="s">
        <v>705</v>
      </c>
      <c r="D28" s="232">
        <f>D29</f>
        <v>0</v>
      </c>
      <c r="E28" s="232">
        <f>E29</f>
        <v>0</v>
      </c>
      <c r="F28" s="232">
        <f>F29</f>
        <v>0</v>
      </c>
      <c r="G28" s="232">
        <f>G29</f>
        <v>0</v>
      </c>
      <c r="H28" s="232"/>
      <c r="I28" s="320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316">
        <f t="shared" si="6"/>
        <v>0</v>
      </c>
      <c r="AH28" s="315">
        <f t="shared" si="2"/>
        <v>0</v>
      </c>
      <c r="AI28" s="232"/>
      <c r="AJ28" s="232">
        <f t="shared" si="7"/>
        <v>0</v>
      </c>
      <c r="AK28" s="233">
        <f t="shared" si="3"/>
        <v>0</v>
      </c>
      <c r="AL28" s="234">
        <f t="shared" si="4"/>
        <v>0</v>
      </c>
      <c r="AM28" s="160"/>
      <c r="AN28" s="116"/>
      <c r="AO28" s="116"/>
      <c r="AP28" s="116"/>
      <c r="AQ28" s="116"/>
      <c r="AR28" s="169"/>
      <c r="AS28" s="417" t="e">
        <f t="shared" si="8"/>
        <v>#DIV/0!</v>
      </c>
    </row>
    <row r="29" spans="1:45" ht="21.6" hidden="1" customHeight="1" thickBot="1">
      <c r="A29" s="424" t="s">
        <v>708</v>
      </c>
      <c r="B29" s="230"/>
      <c r="C29" s="231" t="s">
        <v>706</v>
      </c>
      <c r="D29" s="232"/>
      <c r="E29" s="232"/>
      <c r="F29" s="232"/>
      <c r="G29" s="232"/>
      <c r="H29" s="232"/>
      <c r="I29" s="320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316">
        <f t="shared" si="6"/>
        <v>0</v>
      </c>
      <c r="AH29" s="315">
        <f t="shared" si="2"/>
        <v>0</v>
      </c>
      <c r="AI29" s="232"/>
      <c r="AJ29" s="232">
        <f t="shared" si="7"/>
        <v>0</v>
      </c>
      <c r="AK29" s="233">
        <f t="shared" si="3"/>
        <v>0</v>
      </c>
      <c r="AL29" s="234">
        <f t="shared" si="4"/>
        <v>0</v>
      </c>
      <c r="AM29" s="160"/>
      <c r="AN29" s="116"/>
      <c r="AO29" s="116"/>
      <c r="AP29" s="116"/>
      <c r="AQ29" s="116"/>
      <c r="AR29" s="169"/>
      <c r="AS29" s="417" t="e">
        <f t="shared" si="8"/>
        <v>#DIV/0!</v>
      </c>
    </row>
    <row r="30" spans="1:45" ht="17.100000000000001" customHeight="1" thickBot="1">
      <c r="A30" s="424" t="s">
        <v>676</v>
      </c>
      <c r="B30" s="230"/>
      <c r="C30" s="231" t="s">
        <v>425</v>
      </c>
      <c r="D30" s="232">
        <f>D31</f>
        <v>85452</v>
      </c>
      <c r="E30" s="232">
        <f>E31</f>
        <v>85452</v>
      </c>
      <c r="F30" s="232" t="e">
        <f>F31</f>
        <v>#REF!</v>
      </c>
      <c r="G30" s="232">
        <f>G31</f>
        <v>85452</v>
      </c>
      <c r="H30" s="232"/>
      <c r="I30" s="320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316">
        <f t="shared" si="6"/>
        <v>0</v>
      </c>
      <c r="AH30" s="315" t="e">
        <f t="shared" si="2"/>
        <v>#REF!</v>
      </c>
      <c r="AI30" s="232"/>
      <c r="AJ30" s="232">
        <f>G30</f>
        <v>85452</v>
      </c>
      <c r="AK30" s="233">
        <f t="shared" si="3"/>
        <v>0</v>
      </c>
      <c r="AL30" s="234">
        <f t="shared" si="4"/>
        <v>0</v>
      </c>
      <c r="AM30" s="160"/>
      <c r="AN30" s="116"/>
      <c r="AO30" s="116"/>
      <c r="AP30" s="116"/>
      <c r="AQ30" s="116"/>
      <c r="AR30" s="169"/>
      <c r="AS30" s="417">
        <f t="shared" si="8"/>
        <v>100</v>
      </c>
    </row>
    <row r="31" spans="1:45" ht="21.95" customHeight="1" thickBot="1">
      <c r="A31" s="424" t="s">
        <v>675</v>
      </c>
      <c r="B31" s="230"/>
      <c r="C31" s="231" t="s">
        <v>15</v>
      </c>
      <c r="D31" s="232">
        <f>D73</f>
        <v>85452</v>
      </c>
      <c r="E31" s="232">
        <f>E73</f>
        <v>85452</v>
      </c>
      <c r="F31" s="232" t="e">
        <f>#REF!+F73</f>
        <v>#REF!</v>
      </c>
      <c r="G31" s="232">
        <f>G73</f>
        <v>85452</v>
      </c>
      <c r="H31" s="232"/>
      <c r="I31" s="320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316">
        <f t="shared" si="6"/>
        <v>0</v>
      </c>
      <c r="AH31" s="315" t="e">
        <f t="shared" si="2"/>
        <v>#REF!</v>
      </c>
      <c r="AI31" s="232"/>
      <c r="AJ31" s="232">
        <f>G31</f>
        <v>85452</v>
      </c>
      <c r="AK31" s="233">
        <f t="shared" si="3"/>
        <v>0</v>
      </c>
      <c r="AL31" s="234">
        <f t="shared" si="4"/>
        <v>0</v>
      </c>
      <c r="AM31" s="160"/>
      <c r="AN31" s="116"/>
      <c r="AO31" s="116"/>
      <c r="AP31" s="116"/>
      <c r="AQ31" s="116"/>
      <c r="AR31" s="169"/>
      <c r="AS31" s="417">
        <f t="shared" si="8"/>
        <v>100</v>
      </c>
    </row>
    <row r="32" spans="1:45" ht="15" customHeight="1" thickBot="1">
      <c r="A32" s="424" t="s">
        <v>88</v>
      </c>
      <c r="B32" s="230"/>
      <c r="C32" s="231" t="s">
        <v>350</v>
      </c>
      <c r="D32" s="232">
        <f>D91+D63+D76+D80</f>
        <v>302103.31</v>
      </c>
      <c r="E32" s="232">
        <f>E91+E63+E76+E80</f>
        <v>302103.31</v>
      </c>
      <c r="F32" s="232">
        <f>F84+F91+F63+F76+F81</f>
        <v>925669.25</v>
      </c>
      <c r="G32" s="232">
        <f>G84+G91+G63+G76+G81</f>
        <v>302103.31</v>
      </c>
      <c r="H32" s="232"/>
      <c r="I32" s="320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316">
        <f t="shared" si="6"/>
        <v>0</v>
      </c>
      <c r="AH32" s="315">
        <f t="shared" si="2"/>
        <v>925669.25</v>
      </c>
      <c r="AI32" s="232"/>
      <c r="AJ32" s="232">
        <f t="shared" si="7"/>
        <v>302103.31</v>
      </c>
      <c r="AK32" s="233">
        <f t="shared" si="3"/>
        <v>0</v>
      </c>
      <c r="AL32" s="234">
        <f t="shared" si="4"/>
        <v>0</v>
      </c>
      <c r="AM32" s="160"/>
      <c r="AN32" s="116"/>
      <c r="AO32" s="116"/>
      <c r="AP32" s="116"/>
      <c r="AQ32" s="116"/>
      <c r="AR32" s="169"/>
      <c r="AS32" s="417">
        <f t="shared" si="8"/>
        <v>100</v>
      </c>
    </row>
    <row r="33" spans="1:45" ht="13.5" customHeight="1" thickBot="1">
      <c r="A33" s="424" t="s">
        <v>141</v>
      </c>
      <c r="B33" s="230"/>
      <c r="C33" s="231" t="s">
        <v>351</v>
      </c>
      <c r="D33" s="232">
        <f>D34+D35</f>
        <v>346141.33</v>
      </c>
      <c r="E33" s="232">
        <f>E34+E35</f>
        <v>346141.33</v>
      </c>
      <c r="F33" s="232">
        <f>F34+F35</f>
        <v>4940</v>
      </c>
      <c r="G33" s="232">
        <f>G34+G35</f>
        <v>341692.7</v>
      </c>
      <c r="H33" s="232"/>
      <c r="I33" s="320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316">
        <f t="shared" si="6"/>
        <v>0</v>
      </c>
      <c r="AH33" s="315">
        <f t="shared" si="2"/>
        <v>4940</v>
      </c>
      <c r="AI33" s="232"/>
      <c r="AJ33" s="232">
        <f t="shared" si="7"/>
        <v>341692.7</v>
      </c>
      <c r="AK33" s="233">
        <f t="shared" si="3"/>
        <v>4448.6300000000047</v>
      </c>
      <c r="AL33" s="234">
        <f t="shared" si="4"/>
        <v>4448.6300000000047</v>
      </c>
      <c r="AM33" s="160"/>
      <c r="AN33" s="116"/>
      <c r="AO33" s="116"/>
      <c r="AP33" s="116"/>
      <c r="AQ33" s="116"/>
      <c r="AR33" s="169"/>
      <c r="AS33" s="417">
        <f t="shared" si="8"/>
        <v>98.714793752020313</v>
      </c>
    </row>
    <row r="34" spans="1:45" ht="15.75" customHeight="1" thickBot="1">
      <c r="A34" s="424" t="s">
        <v>143</v>
      </c>
      <c r="B34" s="230"/>
      <c r="C34" s="231" t="s">
        <v>352</v>
      </c>
      <c r="D34" s="232">
        <f>D59+D93</f>
        <v>128957</v>
      </c>
      <c r="E34" s="232">
        <f>E59+E93</f>
        <v>128957</v>
      </c>
      <c r="F34" s="232">
        <f t="shared" ref="F34" si="22">F59</f>
        <v>2940</v>
      </c>
      <c r="G34" s="232">
        <f>G59+G93</f>
        <v>128957</v>
      </c>
      <c r="H34" s="232"/>
      <c r="I34" s="320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316">
        <f t="shared" si="6"/>
        <v>0</v>
      </c>
      <c r="AH34" s="315">
        <f t="shared" si="2"/>
        <v>2940</v>
      </c>
      <c r="AI34" s="232"/>
      <c r="AJ34" s="232">
        <f t="shared" si="7"/>
        <v>128957</v>
      </c>
      <c r="AK34" s="233">
        <f t="shared" si="3"/>
        <v>0</v>
      </c>
      <c r="AL34" s="234">
        <f t="shared" si="4"/>
        <v>0</v>
      </c>
      <c r="AM34" s="160"/>
      <c r="AN34" s="116"/>
      <c r="AO34" s="116"/>
      <c r="AP34" s="116"/>
      <c r="AQ34" s="116"/>
      <c r="AR34" s="169"/>
      <c r="AS34" s="417">
        <f t="shared" si="8"/>
        <v>100</v>
      </c>
    </row>
    <row r="35" spans="1:45" ht="15" customHeight="1" thickBot="1">
      <c r="A35" s="424" t="s">
        <v>721</v>
      </c>
      <c r="B35" s="230"/>
      <c r="C35" s="231" t="s">
        <v>341</v>
      </c>
      <c r="D35" s="232">
        <f>D60+D69+D94</f>
        <v>217184.33000000002</v>
      </c>
      <c r="E35" s="232">
        <f>E60+E69+E94</f>
        <v>217184.33000000002</v>
      </c>
      <c r="F35" s="232">
        <f t="shared" ref="F35" si="23">F60+F69+F94</f>
        <v>2000</v>
      </c>
      <c r="G35" s="232">
        <f>G60+G69+G94</f>
        <v>212735.7</v>
      </c>
      <c r="H35" s="232"/>
      <c r="I35" s="320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316">
        <f t="shared" si="6"/>
        <v>0</v>
      </c>
      <c r="AH35" s="315">
        <f t="shared" si="2"/>
        <v>2000</v>
      </c>
      <c r="AI35" s="232"/>
      <c r="AJ35" s="232">
        <f t="shared" si="7"/>
        <v>212735.7</v>
      </c>
      <c r="AK35" s="233">
        <f t="shared" si="3"/>
        <v>4448.6300000000047</v>
      </c>
      <c r="AL35" s="234">
        <f t="shared" si="4"/>
        <v>4448.6300000000047</v>
      </c>
      <c r="AM35" s="160"/>
      <c r="AN35" s="116"/>
      <c r="AO35" s="116"/>
      <c r="AP35" s="116"/>
      <c r="AQ35" s="116"/>
      <c r="AR35" s="169"/>
      <c r="AS35" s="417">
        <f t="shared" si="8"/>
        <v>97.951680031427685</v>
      </c>
    </row>
    <row r="36" spans="1:45" ht="32.450000000000003" customHeight="1" thickBot="1">
      <c r="A36" s="398" t="s">
        <v>582</v>
      </c>
      <c r="B36" s="139"/>
      <c r="C36" s="139" t="s">
        <v>340</v>
      </c>
      <c r="D36" s="110">
        <f>D38+D39+D41</f>
        <v>1193740.05</v>
      </c>
      <c r="E36" s="110">
        <f>E38+E39+E41</f>
        <v>1193740.05</v>
      </c>
      <c r="F36" s="110">
        <f t="shared" ref="F36" si="24">F38+F41+F39+F40</f>
        <v>458088.17000000004</v>
      </c>
      <c r="G36" s="110">
        <f>G38+G41+G39+G40</f>
        <v>1193740.05</v>
      </c>
      <c r="H36" s="110"/>
      <c r="I36" s="32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316">
        <f t="shared" si="6"/>
        <v>0</v>
      </c>
      <c r="AH36" s="315">
        <f t="shared" si="2"/>
        <v>458088.17000000004</v>
      </c>
      <c r="AI36" s="120"/>
      <c r="AJ36" s="110">
        <f t="shared" si="7"/>
        <v>1193740.05</v>
      </c>
      <c r="AK36" s="113">
        <f t="shared" si="3"/>
        <v>0</v>
      </c>
      <c r="AL36" s="172">
        <f t="shared" si="4"/>
        <v>0</v>
      </c>
      <c r="AM36" s="133"/>
      <c r="AN36" s="110"/>
      <c r="AO36" s="110"/>
      <c r="AP36" s="110"/>
      <c r="AQ36" s="110"/>
      <c r="AR36" s="170"/>
      <c r="AS36" s="417">
        <f t="shared" si="8"/>
        <v>100</v>
      </c>
    </row>
    <row r="37" spans="1:45" ht="13.5" customHeight="1" thickBot="1">
      <c r="A37" s="425"/>
      <c r="B37" s="136"/>
      <c r="C37" s="136" t="s">
        <v>778</v>
      </c>
      <c r="D37" s="120"/>
      <c r="E37" s="120"/>
      <c r="F37" s="120"/>
      <c r="G37" s="120"/>
      <c r="H37" s="120"/>
      <c r="I37" s="320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316">
        <f t="shared" si="6"/>
        <v>0</v>
      </c>
      <c r="AH37" s="315">
        <f t="shared" si="2"/>
        <v>0</v>
      </c>
      <c r="AI37" s="120"/>
      <c r="AJ37" s="111"/>
      <c r="AK37" s="113"/>
      <c r="AL37" s="172"/>
      <c r="AM37" s="133"/>
      <c r="AN37" s="110"/>
      <c r="AO37" s="110"/>
      <c r="AP37" s="110"/>
      <c r="AQ37" s="110"/>
      <c r="AR37" s="170"/>
      <c r="AS37" s="417" t="e">
        <f t="shared" si="8"/>
        <v>#DIV/0!</v>
      </c>
    </row>
    <row r="38" spans="1:45" ht="12.95" customHeight="1" thickBot="1">
      <c r="A38" s="425" t="s">
        <v>85</v>
      </c>
      <c r="B38" s="140"/>
      <c r="C38" s="136" t="s">
        <v>579</v>
      </c>
      <c r="D38" s="120">
        <v>912723.41</v>
      </c>
      <c r="E38" s="120">
        <v>912723.41</v>
      </c>
      <c r="F38" s="120">
        <v>321172.21000000002</v>
      </c>
      <c r="G38" s="120">
        <f>65141+167813.5+62306.95+65141+65141+58524.01+65141+65141+62615.67+85471.82+32105.46+67051.54+51129.46</f>
        <v>912723.40999999992</v>
      </c>
      <c r="H38" s="120"/>
      <c r="I38" s="320"/>
      <c r="J38" s="191"/>
      <c r="K38" s="191"/>
      <c r="L38" s="191"/>
      <c r="M38" s="191"/>
      <c r="N38" s="191">
        <v>10000</v>
      </c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316">
        <f t="shared" si="6"/>
        <v>10000</v>
      </c>
      <c r="AH38" s="315">
        <f t="shared" si="2"/>
        <v>331172.21000000002</v>
      </c>
      <c r="AI38" s="113"/>
      <c r="AJ38" s="120">
        <f>G38</f>
        <v>912723.40999999992</v>
      </c>
      <c r="AK38" s="113">
        <f>D38-AJ38</f>
        <v>0</v>
      </c>
      <c r="AL38" s="172">
        <f>E38-AJ38</f>
        <v>0</v>
      </c>
      <c r="AM38" s="166">
        <v>24423.5</v>
      </c>
      <c r="AN38" s="167">
        <v>1130</v>
      </c>
      <c r="AO38" s="167">
        <v>6514</v>
      </c>
      <c r="AP38" s="110"/>
      <c r="AQ38" s="110"/>
      <c r="AR38" s="170">
        <f>AM38+AN38+AO38+AP38+AQ38</f>
        <v>32067.5</v>
      </c>
      <c r="AS38" s="417">
        <f t="shared" si="8"/>
        <v>99.999999999999986</v>
      </c>
    </row>
    <row r="39" spans="1:45" ht="21.95" customHeight="1" thickBot="1">
      <c r="A39" s="425" t="s">
        <v>740</v>
      </c>
      <c r="B39" s="140"/>
      <c r="C39" s="136" t="s">
        <v>1042</v>
      </c>
      <c r="D39" s="120">
        <v>6582.18</v>
      </c>
      <c r="E39" s="120">
        <v>6582.18</v>
      </c>
      <c r="F39" s="120"/>
      <c r="G39" s="120">
        <v>6582.18</v>
      </c>
      <c r="H39" s="120"/>
      <c r="I39" s="320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316"/>
      <c r="AH39" s="315"/>
      <c r="AI39" s="113"/>
      <c r="AJ39" s="120">
        <f>G39</f>
        <v>6582.18</v>
      </c>
      <c r="AK39" s="113">
        <f>D39-G39</f>
        <v>0</v>
      </c>
      <c r="AL39" s="172">
        <f>E39-G39</f>
        <v>0</v>
      </c>
      <c r="AM39" s="166"/>
      <c r="AN39" s="167"/>
      <c r="AO39" s="167"/>
      <c r="AP39" s="110"/>
      <c r="AQ39" s="110"/>
      <c r="AR39" s="170"/>
    </row>
    <row r="40" spans="1:45" ht="21.6" hidden="1" customHeight="1" thickBot="1">
      <c r="A40" s="425" t="s">
        <v>140</v>
      </c>
      <c r="B40" s="140"/>
      <c r="C40" s="136" t="s">
        <v>971</v>
      </c>
      <c r="D40" s="120">
        <v>0</v>
      </c>
      <c r="E40" s="120">
        <v>0</v>
      </c>
      <c r="F40" s="120"/>
      <c r="G40" s="120"/>
      <c r="H40" s="120"/>
      <c r="I40" s="320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316"/>
      <c r="AH40" s="315"/>
      <c r="AI40" s="113"/>
      <c r="AJ40" s="120">
        <f>G40</f>
        <v>0</v>
      </c>
      <c r="AK40" s="113">
        <f>D40-G40</f>
        <v>0</v>
      </c>
      <c r="AL40" s="172">
        <f>E40-G40</f>
        <v>0</v>
      </c>
      <c r="AM40" s="166"/>
      <c r="AN40" s="167"/>
      <c r="AO40" s="167"/>
      <c r="AP40" s="110"/>
      <c r="AQ40" s="110"/>
      <c r="AR40" s="170"/>
    </row>
    <row r="41" spans="1:45" ht="14.25" customHeight="1" thickBot="1">
      <c r="A41" s="425" t="s">
        <v>741</v>
      </c>
      <c r="B41" s="140"/>
      <c r="C41" s="136" t="s">
        <v>567</v>
      </c>
      <c r="D41" s="120">
        <v>274434.46000000002</v>
      </c>
      <c r="E41" s="120">
        <v>274434.46000000002</v>
      </c>
      <c r="F41" s="120">
        <v>136915.96</v>
      </c>
      <c r="G41" s="120">
        <f>19672.58+328.47+67836.14+19796.36+19672.58+17674.25+19672.58+19672.58+18909.93+19672.58+16444.58+35081.83</f>
        <v>274434.46000000008</v>
      </c>
      <c r="H41" s="120"/>
      <c r="I41" s="320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316">
        <f t="shared" si="6"/>
        <v>0</v>
      </c>
      <c r="AH41" s="315">
        <f t="shared" si="2"/>
        <v>136915.96</v>
      </c>
      <c r="AI41" s="113"/>
      <c r="AJ41" s="120">
        <f>G41</f>
        <v>274434.46000000008</v>
      </c>
      <c r="AK41" s="113">
        <f>D41-AJ41</f>
        <v>0</v>
      </c>
      <c r="AL41" s="172">
        <f>E41-AJ41</f>
        <v>0</v>
      </c>
      <c r="AM41" s="166">
        <v>5824.7</v>
      </c>
      <c r="AN41" s="110"/>
      <c r="AO41" s="167">
        <v>13390.9</v>
      </c>
      <c r="AP41" s="110"/>
      <c r="AQ41" s="110"/>
      <c r="AR41" s="170">
        <f t="shared" ref="AR41:AR60" si="25">AM41+AN41+AO41+AP41+AQ41</f>
        <v>19215.599999999999</v>
      </c>
      <c r="AS41" s="417">
        <f t="shared" si="8"/>
        <v>100.00000000000003</v>
      </c>
    </row>
    <row r="42" spans="1:45" ht="25.5" hidden="1" customHeight="1" thickBot="1">
      <c r="A42" s="398" t="s">
        <v>733</v>
      </c>
      <c r="B42" s="139"/>
      <c r="C42" s="139" t="s">
        <v>719</v>
      </c>
      <c r="D42" s="110">
        <f>D44+D45</f>
        <v>0</v>
      </c>
      <c r="E42" s="110">
        <f>E44+E45</f>
        <v>0</v>
      </c>
      <c r="F42" s="110">
        <f>F44+F45</f>
        <v>0</v>
      </c>
      <c r="G42" s="110">
        <f>G44+G45</f>
        <v>0</v>
      </c>
      <c r="H42" s="110"/>
      <c r="I42" s="32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316">
        <f t="shared" si="6"/>
        <v>0</v>
      </c>
      <c r="AH42" s="315">
        <f t="shared" si="2"/>
        <v>0</v>
      </c>
      <c r="AI42" s="120"/>
      <c r="AJ42" s="110">
        <f>G42</f>
        <v>0</v>
      </c>
      <c r="AK42" s="113">
        <f>D42-AJ42</f>
        <v>0</v>
      </c>
      <c r="AL42" s="172">
        <f>E42-AJ42</f>
        <v>0</v>
      </c>
      <c r="AM42" s="133"/>
      <c r="AN42" s="110"/>
      <c r="AO42" s="110"/>
      <c r="AP42" s="110"/>
      <c r="AQ42" s="110"/>
      <c r="AR42" s="170">
        <f t="shared" si="25"/>
        <v>0</v>
      </c>
      <c r="AS42" s="417" t="e">
        <f t="shared" si="8"/>
        <v>#DIV/0!</v>
      </c>
    </row>
    <row r="43" spans="1:45" ht="12" hidden="1" customHeight="1" thickBot="1">
      <c r="A43" s="425"/>
      <c r="B43" s="136"/>
      <c r="C43" s="136" t="s">
        <v>778</v>
      </c>
      <c r="D43" s="120"/>
      <c r="E43" s="120"/>
      <c r="F43" s="120"/>
      <c r="G43" s="120"/>
      <c r="H43" s="120"/>
      <c r="I43" s="320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316">
        <f t="shared" si="6"/>
        <v>0</v>
      </c>
      <c r="AH43" s="315">
        <f t="shared" si="2"/>
        <v>0</v>
      </c>
      <c r="AI43" s="120"/>
      <c r="AJ43" s="111"/>
      <c r="AK43" s="113"/>
      <c r="AL43" s="172"/>
      <c r="AM43" s="133"/>
      <c r="AN43" s="110"/>
      <c r="AO43" s="110"/>
      <c r="AP43" s="110"/>
      <c r="AQ43" s="110"/>
      <c r="AR43" s="170">
        <f t="shared" si="25"/>
        <v>0</v>
      </c>
      <c r="AS43" s="417" t="e">
        <f t="shared" si="8"/>
        <v>#DIV/0!</v>
      </c>
    </row>
    <row r="44" spans="1:45" ht="15" hidden="1" customHeight="1" thickBot="1">
      <c r="A44" s="425" t="s">
        <v>85</v>
      </c>
      <c r="B44" s="140"/>
      <c r="C44" s="136" t="s">
        <v>718</v>
      </c>
      <c r="D44" s="120"/>
      <c r="E44" s="120"/>
      <c r="F44" s="120"/>
      <c r="G44" s="120"/>
      <c r="H44" s="120"/>
      <c r="I44" s="320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316">
        <f t="shared" si="6"/>
        <v>0</v>
      </c>
      <c r="AH44" s="315">
        <f t="shared" si="2"/>
        <v>0</v>
      </c>
      <c r="AI44" s="113"/>
      <c r="AJ44" s="120">
        <f>G44</f>
        <v>0</v>
      </c>
      <c r="AK44" s="113">
        <f>D44-AJ44</f>
        <v>0</v>
      </c>
      <c r="AL44" s="172">
        <f>E44-AJ44</f>
        <v>0</v>
      </c>
      <c r="AM44" s="166">
        <v>31854.5</v>
      </c>
      <c r="AN44" s="167">
        <v>1130</v>
      </c>
      <c r="AO44" s="167">
        <v>2243</v>
      </c>
      <c r="AP44" s="110"/>
      <c r="AQ44" s="110"/>
      <c r="AR44" s="170">
        <f t="shared" si="25"/>
        <v>35227.5</v>
      </c>
      <c r="AS44" s="417" t="e">
        <f t="shared" si="8"/>
        <v>#DIV/0!</v>
      </c>
    </row>
    <row r="45" spans="1:45" ht="15" hidden="1" customHeight="1" thickBot="1">
      <c r="A45" s="425" t="s">
        <v>185</v>
      </c>
      <c r="B45" s="140"/>
      <c r="C45" s="136" t="s">
        <v>720</v>
      </c>
      <c r="D45" s="120"/>
      <c r="E45" s="120"/>
      <c r="F45" s="120"/>
      <c r="G45" s="120"/>
      <c r="H45" s="120"/>
      <c r="I45" s="320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316">
        <f t="shared" si="6"/>
        <v>0</v>
      </c>
      <c r="AH45" s="315">
        <f t="shared" si="2"/>
        <v>0</v>
      </c>
      <c r="AI45" s="113"/>
      <c r="AJ45" s="120">
        <f>G45</f>
        <v>0</v>
      </c>
      <c r="AK45" s="113">
        <f>D45-AJ45</f>
        <v>0</v>
      </c>
      <c r="AL45" s="172">
        <f>E45-AJ45</f>
        <v>0</v>
      </c>
      <c r="AM45" s="166">
        <v>4194.7</v>
      </c>
      <c r="AN45" s="110"/>
      <c r="AO45" s="167">
        <v>4782.1000000000004</v>
      </c>
      <c r="AP45" s="110"/>
      <c r="AQ45" s="110"/>
      <c r="AR45" s="170">
        <f t="shared" si="25"/>
        <v>8976.7999999999993</v>
      </c>
      <c r="AS45" s="417" t="e">
        <f t="shared" si="8"/>
        <v>#DIV/0!</v>
      </c>
    </row>
    <row r="46" spans="1:45" ht="23.25" hidden="1" customHeight="1" thickBot="1">
      <c r="A46" s="398" t="s">
        <v>764</v>
      </c>
      <c r="B46" s="139"/>
      <c r="C46" s="139" t="s">
        <v>767</v>
      </c>
      <c r="D46" s="110"/>
      <c r="E46" s="110"/>
      <c r="F46" s="110"/>
      <c r="G46" s="110"/>
      <c r="H46" s="110"/>
      <c r="I46" s="32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316">
        <f t="shared" si="6"/>
        <v>0</v>
      </c>
      <c r="AH46" s="315">
        <f t="shared" si="2"/>
        <v>0</v>
      </c>
      <c r="AI46" s="120"/>
      <c r="AJ46" s="110">
        <f>G46</f>
        <v>0</v>
      </c>
      <c r="AK46" s="113">
        <f>D46-AJ46</f>
        <v>0</v>
      </c>
      <c r="AL46" s="172">
        <f>E46-AJ46</f>
        <v>0</v>
      </c>
      <c r="AM46" s="133"/>
      <c r="AN46" s="110"/>
      <c r="AO46" s="110"/>
      <c r="AP46" s="110"/>
      <c r="AQ46" s="110"/>
      <c r="AR46" s="170">
        <f t="shared" si="25"/>
        <v>0</v>
      </c>
      <c r="AS46" s="417" t="e">
        <f t="shared" si="8"/>
        <v>#DIV/0!</v>
      </c>
    </row>
    <row r="47" spans="1:45" ht="15" hidden="1" customHeight="1" thickBot="1">
      <c r="A47" s="425"/>
      <c r="B47" s="136"/>
      <c r="C47" s="136" t="s">
        <v>778</v>
      </c>
      <c r="D47" s="120"/>
      <c r="E47" s="120"/>
      <c r="F47" s="120"/>
      <c r="G47" s="120"/>
      <c r="H47" s="120"/>
      <c r="I47" s="320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316">
        <f t="shared" si="6"/>
        <v>0</v>
      </c>
      <c r="AH47" s="315">
        <f t="shared" si="2"/>
        <v>0</v>
      </c>
      <c r="AI47" s="120"/>
      <c r="AJ47" s="111"/>
      <c r="AK47" s="113">
        <f>D47-AJ47</f>
        <v>0</v>
      </c>
      <c r="AL47" s="172">
        <f>E47-AJ47</f>
        <v>0</v>
      </c>
      <c r="AM47" s="133"/>
      <c r="AN47" s="110"/>
      <c r="AO47" s="110"/>
      <c r="AP47" s="110"/>
      <c r="AQ47" s="110"/>
      <c r="AR47" s="170">
        <f t="shared" si="25"/>
        <v>0</v>
      </c>
      <c r="AS47" s="417" t="e">
        <f t="shared" si="8"/>
        <v>#DIV/0!</v>
      </c>
    </row>
    <row r="48" spans="1:45" ht="33.75" customHeight="1" thickBot="1">
      <c r="A48" s="398" t="s">
        <v>583</v>
      </c>
      <c r="B48" s="139"/>
      <c r="C48" s="139" t="s">
        <v>354</v>
      </c>
      <c r="D48" s="110">
        <f>SUM(D50:D60)+D63</f>
        <v>2738210.45</v>
      </c>
      <c r="E48" s="110">
        <f>SUM(E50:E60)+E63</f>
        <v>2738210.45</v>
      </c>
      <c r="F48" s="110">
        <f t="shared" ref="F48:G48" si="26">SUM(F50:F60)+F63</f>
        <v>1408517.96</v>
      </c>
      <c r="G48" s="110">
        <f t="shared" si="26"/>
        <v>2733761.82</v>
      </c>
      <c r="H48" s="110"/>
      <c r="I48" s="32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316">
        <f t="shared" si="6"/>
        <v>0</v>
      </c>
      <c r="AH48" s="315">
        <f t="shared" si="2"/>
        <v>1408517.96</v>
      </c>
      <c r="AI48" s="120"/>
      <c r="AJ48" s="110">
        <f>G48</f>
        <v>2733761.82</v>
      </c>
      <c r="AK48" s="113">
        <f>D48-AJ48</f>
        <v>4448.6300000003539</v>
      </c>
      <c r="AL48" s="172">
        <f>E48-AJ48</f>
        <v>4448.6300000003539</v>
      </c>
      <c r="AM48" s="133"/>
      <c r="AN48" s="110"/>
      <c r="AO48" s="110"/>
      <c r="AP48" s="110"/>
      <c r="AQ48" s="110"/>
      <c r="AR48" s="170">
        <f t="shared" si="25"/>
        <v>0</v>
      </c>
      <c r="AS48" s="417">
        <f t="shared" si="8"/>
        <v>99.837535131750002</v>
      </c>
    </row>
    <row r="49" spans="1:45" ht="12" customHeight="1" thickBot="1">
      <c r="A49" s="425"/>
      <c r="B49" s="136"/>
      <c r="C49" s="136" t="s">
        <v>132</v>
      </c>
      <c r="D49" s="111"/>
      <c r="E49" s="111"/>
      <c r="F49" s="111"/>
      <c r="G49" s="111"/>
      <c r="H49" s="111"/>
      <c r="I49" s="322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316">
        <f t="shared" si="6"/>
        <v>0</v>
      </c>
      <c r="AH49" s="315">
        <f t="shared" si="2"/>
        <v>0</v>
      </c>
      <c r="AI49" s="120"/>
      <c r="AJ49" s="111"/>
      <c r="AK49" s="113"/>
      <c r="AL49" s="172"/>
      <c r="AM49" s="133"/>
      <c r="AN49" s="110"/>
      <c r="AO49" s="110"/>
      <c r="AP49" s="110"/>
      <c r="AQ49" s="110"/>
      <c r="AR49" s="170">
        <f t="shared" si="25"/>
        <v>0</v>
      </c>
      <c r="AS49" s="417" t="e">
        <f t="shared" si="8"/>
        <v>#DIV/0!</v>
      </c>
    </row>
    <row r="50" spans="1:45" ht="16.5" customHeight="1" thickBot="1">
      <c r="A50" s="425" t="s">
        <v>85</v>
      </c>
      <c r="B50" s="140"/>
      <c r="C50" s="136" t="s">
        <v>353</v>
      </c>
      <c r="D50" s="120">
        <v>1920242.95</v>
      </c>
      <c r="E50" s="120">
        <v>1920242.95</v>
      </c>
      <c r="F50" s="120">
        <v>772908.08</v>
      </c>
      <c r="G50" s="120">
        <f>129817.9+130033.4+157382.15+154395.61+153066.14+132590.69+161357.53+171602.79+131367.03+139527.88+156360.05+189685.14+113056.64</f>
        <v>1920242.95</v>
      </c>
      <c r="H50" s="120"/>
      <c r="I50" s="320"/>
      <c r="J50" s="191"/>
      <c r="K50" s="191"/>
      <c r="L50" s="191"/>
      <c r="M50" s="191"/>
      <c r="N50" s="191">
        <v>26500</v>
      </c>
      <c r="O50" s="191"/>
      <c r="P50" s="191">
        <v>5977.79</v>
      </c>
      <c r="Q50" s="191"/>
      <c r="R50" s="191"/>
      <c r="S50" s="191"/>
      <c r="T50" s="191"/>
      <c r="U50" s="191">
        <v>1365.15</v>
      </c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316">
        <f t="shared" si="6"/>
        <v>33842.94</v>
      </c>
      <c r="AH50" s="315">
        <f t="shared" si="2"/>
        <v>806751.02</v>
      </c>
      <c r="AI50" s="113"/>
      <c r="AJ50" s="120">
        <f t="shared" ref="AJ50:AJ56" si="27">G50</f>
        <v>1920242.95</v>
      </c>
      <c r="AK50" s="113">
        <f t="shared" ref="AK50:AK66" si="28">D50-AJ50</f>
        <v>0</v>
      </c>
      <c r="AL50" s="172">
        <f t="shared" ref="AL50:AL66" si="29">E50-AJ50</f>
        <v>0</v>
      </c>
      <c r="AM50" s="166">
        <v>29786.9</v>
      </c>
      <c r="AN50" s="167">
        <v>19032.400000000001</v>
      </c>
      <c r="AO50" s="167">
        <v>5114</v>
      </c>
      <c r="AP50" s="110"/>
      <c r="AQ50" s="110"/>
      <c r="AR50" s="170">
        <f t="shared" si="25"/>
        <v>53933.3</v>
      </c>
      <c r="AS50" s="417">
        <f t="shared" si="8"/>
        <v>100</v>
      </c>
    </row>
    <row r="51" spans="1:45" ht="17.100000000000001" hidden="1" customHeight="1" thickBot="1">
      <c r="A51" s="425" t="s">
        <v>740</v>
      </c>
      <c r="B51" s="140"/>
      <c r="C51" s="136" t="s">
        <v>742</v>
      </c>
      <c r="D51" s="120">
        <v>0</v>
      </c>
      <c r="E51" s="120">
        <v>0</v>
      </c>
      <c r="F51" s="120"/>
      <c r="G51" s="120"/>
      <c r="H51" s="120"/>
      <c r="I51" s="320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316"/>
      <c r="AH51" s="315"/>
      <c r="AI51" s="113"/>
      <c r="AJ51" s="120">
        <f t="shared" si="27"/>
        <v>0</v>
      </c>
      <c r="AK51" s="113">
        <f t="shared" si="28"/>
        <v>0</v>
      </c>
      <c r="AL51" s="172">
        <f t="shared" si="29"/>
        <v>0</v>
      </c>
      <c r="AM51" s="166"/>
      <c r="AN51" s="167"/>
      <c r="AO51" s="167"/>
      <c r="AP51" s="110"/>
      <c r="AQ51" s="110"/>
      <c r="AR51" s="170"/>
      <c r="AS51" s="417" t="e">
        <f t="shared" si="8"/>
        <v>#DIV/0!</v>
      </c>
    </row>
    <row r="52" spans="1:45" ht="15.95" customHeight="1" thickBot="1">
      <c r="A52" s="425" t="s">
        <v>135</v>
      </c>
      <c r="B52" s="140"/>
      <c r="C52" s="136" t="s">
        <v>568</v>
      </c>
      <c r="D52" s="120">
        <v>571219.03</v>
      </c>
      <c r="E52" s="120">
        <v>571219.03</v>
      </c>
      <c r="F52" s="131">
        <v>233669.63</v>
      </c>
      <c r="G52" s="131">
        <f>39205.01+277.28+82835.57+48460.56+45663.55+36675.54+50888.81+50646.24+39647.68+39480.22+47220.74+90217.83</f>
        <v>571219.03</v>
      </c>
      <c r="H52" s="120"/>
      <c r="I52" s="320"/>
      <c r="J52" s="191"/>
      <c r="K52" s="191"/>
      <c r="L52" s="191"/>
      <c r="M52" s="191"/>
      <c r="N52" s="191"/>
      <c r="O52" s="191"/>
      <c r="P52" s="191">
        <v>605.86</v>
      </c>
      <c r="Q52" s="191"/>
      <c r="R52" s="191"/>
      <c r="S52" s="191"/>
      <c r="T52" s="191"/>
      <c r="U52" s="191">
        <v>1618.14</v>
      </c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316">
        <f t="shared" si="6"/>
        <v>2224</v>
      </c>
      <c r="AH52" s="315">
        <f t="shared" si="2"/>
        <v>235893.63</v>
      </c>
      <c r="AI52" s="113"/>
      <c r="AJ52" s="120">
        <f t="shared" si="27"/>
        <v>571219.03</v>
      </c>
      <c r="AK52" s="113">
        <f t="shared" si="28"/>
        <v>0</v>
      </c>
      <c r="AL52" s="172">
        <f t="shared" si="29"/>
        <v>0</v>
      </c>
      <c r="AM52" s="166">
        <v>10434</v>
      </c>
      <c r="AN52" s="110"/>
      <c r="AO52" s="167">
        <v>13992.8</v>
      </c>
      <c r="AP52" s="110"/>
      <c r="AQ52" s="110"/>
      <c r="AR52" s="170">
        <f t="shared" si="25"/>
        <v>24426.799999999999</v>
      </c>
      <c r="AS52" s="417">
        <f t="shared" si="8"/>
        <v>100</v>
      </c>
    </row>
    <row r="53" spans="1:45" ht="15.95" hidden="1" customHeight="1" thickBot="1">
      <c r="A53" s="425" t="s">
        <v>139</v>
      </c>
      <c r="B53" s="140"/>
      <c r="C53" s="136" t="s">
        <v>863</v>
      </c>
      <c r="D53" s="120">
        <v>0</v>
      </c>
      <c r="E53" s="120">
        <v>0</v>
      </c>
      <c r="F53" s="120">
        <v>15000</v>
      </c>
      <c r="G53" s="120"/>
      <c r="H53" s="120"/>
      <c r="I53" s="320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316">
        <f t="shared" ref="AG53:AG54" si="30">SUM(I53:AF53)</f>
        <v>0</v>
      </c>
      <c r="AH53" s="315">
        <f t="shared" ref="AH53:AH54" si="31">F53+AG53</f>
        <v>15000</v>
      </c>
      <c r="AI53" s="120"/>
      <c r="AJ53" s="120">
        <f t="shared" si="27"/>
        <v>0</v>
      </c>
      <c r="AK53" s="113">
        <f t="shared" ref="AK53:AK54" si="32">D53-AJ53</f>
        <v>0</v>
      </c>
      <c r="AL53" s="172">
        <f t="shared" ref="AL53:AL54" si="33">E53-AJ53</f>
        <v>0</v>
      </c>
      <c r="AM53" s="133"/>
      <c r="AN53" s="110"/>
      <c r="AO53" s="167">
        <v>4550</v>
      </c>
      <c r="AP53" s="110"/>
      <c r="AQ53" s="110"/>
      <c r="AR53" s="170">
        <f t="shared" ref="AR53:AR54" si="34">AM53+AN53+AO53+AP53+AQ53</f>
        <v>4550</v>
      </c>
      <c r="AS53" s="417" t="e">
        <f t="shared" ref="AS53:AS54" si="35">G53/E53*100</f>
        <v>#DIV/0!</v>
      </c>
    </row>
    <row r="54" spans="1:45" ht="14.1" hidden="1" customHeight="1" thickBot="1">
      <c r="A54" s="425" t="s">
        <v>140</v>
      </c>
      <c r="B54" s="140"/>
      <c r="C54" s="136" t="s">
        <v>864</v>
      </c>
      <c r="D54" s="120">
        <v>0</v>
      </c>
      <c r="E54" s="120">
        <v>0</v>
      </c>
      <c r="F54" s="120">
        <v>182200</v>
      </c>
      <c r="G54" s="131"/>
      <c r="H54" s="120"/>
      <c r="I54" s="320">
        <v>5000</v>
      </c>
      <c r="J54" s="191"/>
      <c r="K54" s="324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>
        <v>38340</v>
      </c>
      <c r="X54" s="191"/>
      <c r="Y54" s="191"/>
      <c r="Z54" s="191"/>
      <c r="AA54" s="191"/>
      <c r="AB54" s="191"/>
      <c r="AC54" s="191"/>
      <c r="AD54" s="191"/>
      <c r="AE54" s="191"/>
      <c r="AF54" s="191"/>
      <c r="AG54" s="316">
        <f t="shared" si="30"/>
        <v>43340</v>
      </c>
      <c r="AH54" s="315">
        <f t="shared" si="31"/>
        <v>225540</v>
      </c>
      <c r="AI54" s="120"/>
      <c r="AJ54" s="120">
        <f t="shared" si="27"/>
        <v>0</v>
      </c>
      <c r="AK54" s="113">
        <f t="shared" si="32"/>
        <v>0</v>
      </c>
      <c r="AL54" s="172">
        <f t="shared" si="33"/>
        <v>0</v>
      </c>
      <c r="AM54" s="166">
        <v>2592.1</v>
      </c>
      <c r="AN54" s="167">
        <v>1925</v>
      </c>
      <c r="AO54" s="110"/>
      <c r="AP54" s="110"/>
      <c r="AQ54" s="110"/>
      <c r="AR54" s="170">
        <f t="shared" si="34"/>
        <v>4517.1000000000004</v>
      </c>
      <c r="AS54" s="417" t="e">
        <f t="shared" si="35"/>
        <v>#DIV/0!</v>
      </c>
    </row>
    <row r="55" spans="1:45" ht="15.6" customHeight="1" thickBot="1">
      <c r="A55" s="425" t="s">
        <v>87</v>
      </c>
      <c r="B55" s="140"/>
      <c r="C55" s="136" t="s">
        <v>355</v>
      </c>
      <c r="D55" s="120">
        <v>65328.65</v>
      </c>
      <c r="E55" s="120">
        <v>65328.65</v>
      </c>
      <c r="F55" s="131"/>
      <c r="G55" s="131">
        <f>5251.92+4570.48+4949.38+4990.28+4791.03+4872.06+5065.88+5050.15+5026.82+5073.3+15687.35</f>
        <v>65328.65</v>
      </c>
      <c r="H55" s="120"/>
      <c r="I55" s="320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316">
        <f t="shared" si="6"/>
        <v>0</v>
      </c>
      <c r="AH55" s="315">
        <f t="shared" si="2"/>
        <v>0</v>
      </c>
      <c r="AI55" s="120"/>
      <c r="AJ55" s="120">
        <f t="shared" si="27"/>
        <v>65328.65</v>
      </c>
      <c r="AK55" s="113">
        <f t="shared" si="28"/>
        <v>0</v>
      </c>
      <c r="AL55" s="172">
        <f t="shared" si="29"/>
        <v>0</v>
      </c>
      <c r="AM55" s="133"/>
      <c r="AN55" s="110"/>
      <c r="AO55" s="167">
        <v>1668.56</v>
      </c>
      <c r="AP55" s="110"/>
      <c r="AQ55" s="110"/>
      <c r="AR55" s="170">
        <f t="shared" si="25"/>
        <v>1668.56</v>
      </c>
      <c r="AS55" s="417">
        <f t="shared" si="8"/>
        <v>100</v>
      </c>
    </row>
    <row r="56" spans="1:45" ht="16.5" customHeight="1" thickBot="1">
      <c r="A56" s="425" t="s">
        <v>138</v>
      </c>
      <c r="B56" s="140"/>
      <c r="C56" s="136" t="s">
        <v>1017</v>
      </c>
      <c r="D56" s="120">
        <v>1433.62</v>
      </c>
      <c r="E56" s="120">
        <v>1433.62</v>
      </c>
      <c r="F56" s="120"/>
      <c r="G56" s="120">
        <f>251.5+125.75+251.5+251.5+215.58+107.79+107.79+122.21</f>
        <v>1433.62</v>
      </c>
      <c r="H56" s="120"/>
      <c r="I56" s="320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316">
        <f t="shared" si="6"/>
        <v>0</v>
      </c>
      <c r="AH56" s="315">
        <f t="shared" si="2"/>
        <v>0</v>
      </c>
      <c r="AI56" s="120"/>
      <c r="AJ56" s="120">
        <f t="shared" si="27"/>
        <v>1433.62</v>
      </c>
      <c r="AK56" s="113">
        <f t="shared" si="28"/>
        <v>0</v>
      </c>
      <c r="AL56" s="172">
        <f t="shared" si="29"/>
        <v>0</v>
      </c>
      <c r="AM56" s="133"/>
      <c r="AN56" s="110"/>
      <c r="AO56" s="110"/>
      <c r="AP56" s="110"/>
      <c r="AQ56" s="110"/>
      <c r="AR56" s="170">
        <f t="shared" si="25"/>
        <v>0</v>
      </c>
      <c r="AS56" s="417">
        <f t="shared" si="8"/>
        <v>100</v>
      </c>
    </row>
    <row r="57" spans="1:45" ht="15.95" customHeight="1" thickBot="1">
      <c r="A57" s="425" t="s">
        <v>139</v>
      </c>
      <c r="B57" s="140"/>
      <c r="C57" s="136" t="s">
        <v>356</v>
      </c>
      <c r="D57" s="120">
        <v>48000</v>
      </c>
      <c r="E57" s="120">
        <v>48000</v>
      </c>
      <c r="F57" s="120">
        <v>15000</v>
      </c>
      <c r="G57" s="120">
        <f>5000+21000+12000+10000</f>
        <v>48000</v>
      </c>
      <c r="H57" s="120"/>
      <c r="I57" s="320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316">
        <f t="shared" si="6"/>
        <v>0</v>
      </c>
      <c r="AH57" s="315">
        <f t="shared" si="2"/>
        <v>15000</v>
      </c>
      <c r="AI57" s="120"/>
      <c r="AJ57" s="120">
        <f t="shared" ref="AJ57:AJ71" si="36">G57</f>
        <v>48000</v>
      </c>
      <c r="AK57" s="113">
        <f t="shared" si="28"/>
        <v>0</v>
      </c>
      <c r="AL57" s="172">
        <f t="shared" si="29"/>
        <v>0</v>
      </c>
      <c r="AM57" s="133"/>
      <c r="AN57" s="110"/>
      <c r="AO57" s="167">
        <v>4550</v>
      </c>
      <c r="AP57" s="110"/>
      <c r="AQ57" s="110"/>
      <c r="AR57" s="170">
        <f t="shared" si="25"/>
        <v>4550</v>
      </c>
      <c r="AS57" s="417">
        <f t="shared" si="8"/>
        <v>100</v>
      </c>
    </row>
    <row r="58" spans="1:45" ht="12.95" customHeight="1" thickBot="1">
      <c r="A58" s="425" t="s">
        <v>140</v>
      </c>
      <c r="B58" s="140"/>
      <c r="C58" s="136" t="s">
        <v>357</v>
      </c>
      <c r="D58" s="120">
        <v>50800</v>
      </c>
      <c r="E58" s="120">
        <v>50800</v>
      </c>
      <c r="F58" s="120">
        <v>182200</v>
      </c>
      <c r="G58" s="131">
        <f>7300+2500+4100+4100+4100+4100+4100+4100+4100+4100+4100+1600+2500</f>
        <v>50800</v>
      </c>
      <c r="H58" s="120"/>
      <c r="I58" s="320">
        <v>5000</v>
      </c>
      <c r="J58" s="191"/>
      <c r="K58" s="324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>
        <v>38340</v>
      </c>
      <c r="X58" s="191"/>
      <c r="Y58" s="191"/>
      <c r="Z58" s="191"/>
      <c r="AA58" s="191"/>
      <c r="AB58" s="191"/>
      <c r="AC58" s="191"/>
      <c r="AD58" s="191"/>
      <c r="AE58" s="191"/>
      <c r="AF58" s="191"/>
      <c r="AG58" s="316">
        <f t="shared" si="6"/>
        <v>43340</v>
      </c>
      <c r="AH58" s="315">
        <f t="shared" si="2"/>
        <v>225540</v>
      </c>
      <c r="AI58" s="120"/>
      <c r="AJ58" s="120">
        <f t="shared" si="36"/>
        <v>50800</v>
      </c>
      <c r="AK58" s="113">
        <f t="shared" si="28"/>
        <v>0</v>
      </c>
      <c r="AL58" s="172">
        <f t="shared" si="29"/>
        <v>0</v>
      </c>
      <c r="AM58" s="166">
        <v>2592.1</v>
      </c>
      <c r="AN58" s="167">
        <v>1925</v>
      </c>
      <c r="AO58" s="110"/>
      <c r="AP58" s="110"/>
      <c r="AQ58" s="110"/>
      <c r="AR58" s="170">
        <f t="shared" si="25"/>
        <v>4517.1000000000004</v>
      </c>
      <c r="AS58" s="417">
        <f t="shared" si="8"/>
        <v>100</v>
      </c>
    </row>
    <row r="59" spans="1:45" ht="16.5" customHeight="1" thickBot="1">
      <c r="A59" s="425" t="s">
        <v>143</v>
      </c>
      <c r="B59" s="140"/>
      <c r="C59" s="136" t="s">
        <v>358</v>
      </c>
      <c r="D59" s="120">
        <f>20770+40</f>
        <v>20810</v>
      </c>
      <c r="E59" s="120">
        <f>20770+40</f>
        <v>20810</v>
      </c>
      <c r="F59" s="120">
        <v>2940</v>
      </c>
      <c r="G59" s="120">
        <f>17370+3440</f>
        <v>20810</v>
      </c>
      <c r="H59" s="120"/>
      <c r="I59" s="320"/>
      <c r="J59" s="191"/>
      <c r="K59" s="191"/>
      <c r="L59" s="191"/>
      <c r="M59" s="191"/>
      <c r="N59" s="191"/>
      <c r="O59" s="191"/>
      <c r="P59" s="191"/>
      <c r="Q59" s="191">
        <v>2940</v>
      </c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316">
        <f t="shared" si="6"/>
        <v>2940</v>
      </c>
      <c r="AH59" s="315">
        <f t="shared" si="2"/>
        <v>5880</v>
      </c>
      <c r="AI59" s="120"/>
      <c r="AJ59" s="120">
        <f t="shared" si="36"/>
        <v>20810</v>
      </c>
      <c r="AK59" s="113">
        <f t="shared" si="28"/>
        <v>0</v>
      </c>
      <c r="AL59" s="172">
        <f t="shared" si="29"/>
        <v>0</v>
      </c>
      <c r="AM59" s="133"/>
      <c r="AN59" s="110"/>
      <c r="AO59" s="110"/>
      <c r="AP59" s="110"/>
      <c r="AQ59" s="110"/>
      <c r="AR59" s="170">
        <f t="shared" si="25"/>
        <v>0</v>
      </c>
      <c r="AS59" s="417">
        <f t="shared" si="8"/>
        <v>100</v>
      </c>
    </row>
    <row r="60" spans="1:45" ht="15.75" customHeight="1" thickBot="1">
      <c r="A60" s="425" t="s">
        <v>721</v>
      </c>
      <c r="B60" s="140"/>
      <c r="C60" s="136" t="s">
        <v>359</v>
      </c>
      <c r="D60" s="120">
        <f>D61+D62</f>
        <v>60376.2</v>
      </c>
      <c r="E60" s="120">
        <f>E61+E62</f>
        <v>60376.2</v>
      </c>
      <c r="F60" s="120">
        <f t="shared" ref="F60:G60" si="37">F61+F62</f>
        <v>0</v>
      </c>
      <c r="G60" s="120">
        <f t="shared" si="37"/>
        <v>55927.57</v>
      </c>
      <c r="H60" s="120"/>
      <c r="I60" s="320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316">
        <f t="shared" si="6"/>
        <v>0</v>
      </c>
      <c r="AH60" s="315">
        <f t="shared" si="2"/>
        <v>0</v>
      </c>
      <c r="AI60" s="120"/>
      <c r="AJ60" s="120">
        <f t="shared" si="36"/>
        <v>55927.57</v>
      </c>
      <c r="AK60" s="113">
        <f t="shared" si="28"/>
        <v>4448.6299999999974</v>
      </c>
      <c r="AL60" s="172">
        <f t="shared" si="29"/>
        <v>4448.6299999999974</v>
      </c>
      <c r="AM60" s="165"/>
      <c r="AN60" s="167">
        <v>1200</v>
      </c>
      <c r="AO60" s="167">
        <v>10000</v>
      </c>
      <c r="AP60" s="110"/>
      <c r="AQ60" s="167">
        <v>1982.4</v>
      </c>
      <c r="AR60" s="170">
        <f t="shared" si="25"/>
        <v>13182.4</v>
      </c>
      <c r="AS60" s="417">
        <f t="shared" si="8"/>
        <v>92.631815185453874</v>
      </c>
    </row>
    <row r="61" spans="1:45" ht="14.1" customHeight="1" thickBot="1">
      <c r="A61" s="425" t="s">
        <v>319</v>
      </c>
      <c r="B61" s="140"/>
      <c r="C61" s="136" t="s">
        <v>785</v>
      </c>
      <c r="D61" s="120">
        <f>60416.2-40</f>
        <v>60376.2</v>
      </c>
      <c r="E61" s="120">
        <f>60416.2-40</f>
        <v>60376.2</v>
      </c>
      <c r="F61" s="120"/>
      <c r="G61" s="120">
        <f>9800+9056.57+19640+17431</f>
        <v>55927.57</v>
      </c>
      <c r="H61" s="120"/>
      <c r="I61" s="320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316"/>
      <c r="AH61" s="315"/>
      <c r="AI61" s="120"/>
      <c r="AJ61" s="120">
        <f t="shared" si="36"/>
        <v>55927.57</v>
      </c>
      <c r="AK61" s="113">
        <f t="shared" si="28"/>
        <v>4448.6299999999974</v>
      </c>
      <c r="AL61" s="172">
        <f t="shared" si="29"/>
        <v>4448.6299999999974</v>
      </c>
      <c r="AM61" s="165"/>
      <c r="AN61" s="167"/>
      <c r="AO61" s="167"/>
      <c r="AP61" s="110"/>
      <c r="AQ61" s="167"/>
      <c r="AR61" s="170"/>
      <c r="AS61" s="417">
        <f t="shared" si="8"/>
        <v>92.631815185453874</v>
      </c>
    </row>
    <row r="62" spans="1:45" ht="20.45" hidden="1" customHeight="1" thickBot="1">
      <c r="A62" s="425" t="s">
        <v>314</v>
      </c>
      <c r="B62" s="140"/>
      <c r="C62" s="136" t="s">
        <v>786</v>
      </c>
      <c r="D62" s="120">
        <v>0</v>
      </c>
      <c r="E62" s="120">
        <v>0</v>
      </c>
      <c r="F62" s="120"/>
      <c r="G62" s="120"/>
      <c r="H62" s="120"/>
      <c r="I62" s="320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316"/>
      <c r="AH62" s="315"/>
      <c r="AI62" s="120"/>
      <c r="AJ62" s="120">
        <f t="shared" si="36"/>
        <v>0</v>
      </c>
      <c r="AK62" s="113">
        <f t="shared" si="28"/>
        <v>0</v>
      </c>
      <c r="AL62" s="172">
        <f t="shared" si="29"/>
        <v>0</v>
      </c>
      <c r="AM62" s="165"/>
      <c r="AN62" s="167"/>
      <c r="AO62" s="167"/>
      <c r="AP62" s="110"/>
      <c r="AQ62" s="167"/>
      <c r="AR62" s="170"/>
      <c r="AS62" s="417" t="e">
        <f t="shared" si="8"/>
        <v>#DIV/0!</v>
      </c>
    </row>
    <row r="63" spans="1:45" ht="14.45" hidden="1" customHeight="1" thickBot="1">
      <c r="A63" s="425" t="s">
        <v>88</v>
      </c>
      <c r="B63" s="140"/>
      <c r="C63" s="136" t="s">
        <v>382</v>
      </c>
      <c r="D63" s="120">
        <f>D64+D65</f>
        <v>0</v>
      </c>
      <c r="E63" s="120">
        <f>E64+E65</f>
        <v>0</v>
      </c>
      <c r="F63" s="120">
        <f t="shared" ref="F63" si="38">F64+F65</f>
        <v>4600.25</v>
      </c>
      <c r="G63" s="120"/>
      <c r="H63" s="120"/>
      <c r="I63" s="320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316">
        <f t="shared" si="6"/>
        <v>0</v>
      </c>
      <c r="AH63" s="315">
        <f t="shared" si="2"/>
        <v>4600.25</v>
      </c>
      <c r="AI63" s="120"/>
      <c r="AJ63" s="120">
        <f t="shared" si="36"/>
        <v>0</v>
      </c>
      <c r="AK63" s="113">
        <f t="shared" si="28"/>
        <v>0</v>
      </c>
      <c r="AL63" s="172">
        <f t="shared" si="29"/>
        <v>0</v>
      </c>
      <c r="AM63" s="133"/>
      <c r="AN63" s="110"/>
      <c r="AO63" s="110"/>
      <c r="AP63" s="110"/>
      <c r="AQ63" s="110"/>
      <c r="AR63" s="170"/>
      <c r="AS63" s="417" t="e">
        <f t="shared" si="8"/>
        <v>#DIV/0!</v>
      </c>
    </row>
    <row r="64" spans="1:45" ht="15.6" hidden="1" customHeight="1" thickBot="1">
      <c r="A64" s="425" t="s">
        <v>789</v>
      </c>
      <c r="B64" s="140"/>
      <c r="C64" s="136" t="s">
        <v>787</v>
      </c>
      <c r="D64" s="120">
        <v>0</v>
      </c>
      <c r="E64" s="120">
        <v>0</v>
      </c>
      <c r="F64" s="120">
        <v>4600.25</v>
      </c>
      <c r="G64" s="120"/>
      <c r="H64" s="120"/>
      <c r="I64" s="320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316">
        <f t="shared" si="6"/>
        <v>0</v>
      </c>
      <c r="AH64" s="315">
        <f t="shared" si="2"/>
        <v>4600.25</v>
      </c>
      <c r="AI64" s="120"/>
      <c r="AJ64" s="120">
        <f>G64</f>
        <v>0</v>
      </c>
      <c r="AK64" s="113">
        <f t="shared" si="28"/>
        <v>0</v>
      </c>
      <c r="AL64" s="172">
        <f t="shared" si="29"/>
        <v>0</v>
      </c>
      <c r="AM64" s="133"/>
      <c r="AN64" s="110"/>
      <c r="AO64" s="110"/>
      <c r="AP64" s="110"/>
      <c r="AQ64" s="110"/>
      <c r="AR64" s="170"/>
      <c r="AS64" s="417" t="e">
        <f t="shared" si="8"/>
        <v>#DIV/0!</v>
      </c>
    </row>
    <row r="65" spans="1:45" ht="0.6" hidden="1" customHeight="1" thickBot="1">
      <c r="A65" s="425" t="s">
        <v>790</v>
      </c>
      <c r="B65" s="140"/>
      <c r="C65" s="136" t="s">
        <v>788</v>
      </c>
      <c r="D65" s="120">
        <v>0</v>
      </c>
      <c r="E65" s="120">
        <v>0</v>
      </c>
      <c r="F65" s="120"/>
      <c r="G65" s="120"/>
      <c r="H65" s="120"/>
      <c r="I65" s="320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316"/>
      <c r="AH65" s="315"/>
      <c r="AI65" s="120"/>
      <c r="AJ65" s="120">
        <f>G65</f>
        <v>0</v>
      </c>
      <c r="AK65" s="113">
        <f t="shared" si="28"/>
        <v>0</v>
      </c>
      <c r="AL65" s="172">
        <f t="shared" si="29"/>
        <v>0</v>
      </c>
      <c r="AM65" s="133"/>
      <c r="AN65" s="110"/>
      <c r="AO65" s="110"/>
      <c r="AP65" s="110"/>
      <c r="AQ65" s="110"/>
      <c r="AR65" s="170"/>
      <c r="AS65" s="417" t="e">
        <f t="shared" si="8"/>
        <v>#DIV/0!</v>
      </c>
    </row>
    <row r="66" spans="1:45" ht="24" customHeight="1" thickBot="1">
      <c r="A66" s="398" t="s">
        <v>584</v>
      </c>
      <c r="B66" s="142"/>
      <c r="C66" s="139" t="s">
        <v>360</v>
      </c>
      <c r="D66" s="110">
        <f>D69+D68</f>
        <v>7800</v>
      </c>
      <c r="E66" s="110">
        <f>E69+E68</f>
        <v>7800</v>
      </c>
      <c r="F66" s="110">
        <f t="shared" ref="F66" si="39">F69+F68</f>
        <v>2000</v>
      </c>
      <c r="G66" s="110">
        <f>G69+G68</f>
        <v>7800</v>
      </c>
      <c r="H66" s="110"/>
      <c r="I66" s="32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316">
        <f t="shared" si="6"/>
        <v>0</v>
      </c>
      <c r="AH66" s="315">
        <f t="shared" si="2"/>
        <v>2000</v>
      </c>
      <c r="AI66" s="120"/>
      <c r="AJ66" s="120">
        <f t="shared" si="36"/>
        <v>7800</v>
      </c>
      <c r="AK66" s="113">
        <f t="shared" si="28"/>
        <v>0</v>
      </c>
      <c r="AL66" s="172">
        <f t="shared" si="29"/>
        <v>0</v>
      </c>
      <c r="AM66" s="133"/>
      <c r="AN66" s="110"/>
      <c r="AO66" s="110"/>
      <c r="AP66" s="110"/>
      <c r="AQ66" s="110"/>
      <c r="AR66" s="170">
        <f>AM66+AN66+AO66+AP66+AQ66</f>
        <v>0</v>
      </c>
      <c r="AS66" s="417">
        <f t="shared" si="8"/>
        <v>100</v>
      </c>
    </row>
    <row r="67" spans="1:45" ht="11.25" customHeight="1" thickBot="1">
      <c r="A67" s="425"/>
      <c r="B67" s="140"/>
      <c r="C67" s="136" t="s">
        <v>778</v>
      </c>
      <c r="D67" s="111"/>
      <c r="E67" s="111"/>
      <c r="F67" s="111"/>
      <c r="G67" s="111"/>
      <c r="H67" s="111"/>
      <c r="I67" s="322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316">
        <f t="shared" si="6"/>
        <v>0</v>
      </c>
      <c r="AH67" s="315">
        <f t="shared" si="2"/>
        <v>0</v>
      </c>
      <c r="AI67" s="120"/>
      <c r="AJ67" s="120"/>
      <c r="AK67" s="113"/>
      <c r="AL67" s="172"/>
      <c r="AM67" s="133"/>
      <c r="AN67" s="110"/>
      <c r="AO67" s="110"/>
      <c r="AP67" s="110"/>
      <c r="AQ67" s="110"/>
      <c r="AR67" s="170">
        <f>AM67+AN67+AO67+AP67+AQ67</f>
        <v>0</v>
      </c>
      <c r="AS67" s="417" t="e">
        <f t="shared" si="8"/>
        <v>#DIV/0!</v>
      </c>
    </row>
    <row r="68" spans="1:45" ht="15.6" customHeight="1" thickBot="1">
      <c r="A68" s="425" t="s">
        <v>87</v>
      </c>
      <c r="B68" s="140"/>
      <c r="C68" s="136" t="s">
        <v>840</v>
      </c>
      <c r="D68" s="460">
        <v>3300</v>
      </c>
      <c r="E68" s="460">
        <v>3300</v>
      </c>
      <c r="F68" s="111"/>
      <c r="G68" s="572">
        <v>3300</v>
      </c>
      <c r="H68" s="111"/>
      <c r="I68" s="322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316"/>
      <c r="AH68" s="315"/>
      <c r="AI68" s="120"/>
      <c r="AJ68" s="120">
        <f t="shared" si="36"/>
        <v>3300</v>
      </c>
      <c r="AK68" s="113">
        <f>D68-AJ68</f>
        <v>0</v>
      </c>
      <c r="AL68" s="172">
        <f>E68-AJ68</f>
        <v>0</v>
      </c>
      <c r="AM68" s="133"/>
      <c r="AN68" s="110"/>
      <c r="AO68" s="110"/>
      <c r="AP68" s="110"/>
      <c r="AQ68" s="110"/>
      <c r="AR68" s="170"/>
      <c r="AS68" s="417">
        <f t="shared" si="8"/>
        <v>100</v>
      </c>
    </row>
    <row r="69" spans="1:45" ht="17.25" customHeight="1" thickBot="1">
      <c r="A69" s="425" t="s">
        <v>721</v>
      </c>
      <c r="B69" s="140"/>
      <c r="C69" s="136" t="s">
        <v>361</v>
      </c>
      <c r="D69" s="120">
        <f>D70</f>
        <v>4500</v>
      </c>
      <c r="E69" s="120">
        <f>E70</f>
        <v>4500</v>
      </c>
      <c r="F69" s="120">
        <f t="shared" ref="F69" si="40">F70</f>
        <v>2000</v>
      </c>
      <c r="G69" s="120">
        <f>G70</f>
        <v>4500</v>
      </c>
      <c r="H69" s="120"/>
      <c r="I69" s="320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316">
        <f t="shared" si="6"/>
        <v>0</v>
      </c>
      <c r="AH69" s="315">
        <f t="shared" si="2"/>
        <v>2000</v>
      </c>
      <c r="AI69" s="120"/>
      <c r="AJ69" s="120">
        <f>G69</f>
        <v>4500</v>
      </c>
      <c r="AK69" s="113">
        <f>D69-AJ69</f>
        <v>0</v>
      </c>
      <c r="AL69" s="172">
        <f>E69-AJ69</f>
        <v>0</v>
      </c>
      <c r="AM69" s="133"/>
      <c r="AN69" s="110"/>
      <c r="AO69" s="110"/>
      <c r="AP69" s="110"/>
      <c r="AQ69" s="110"/>
      <c r="AR69" s="170">
        <f>AM69+AN69+AO69+AP69+AQ69</f>
        <v>0</v>
      </c>
      <c r="AS69" s="417">
        <f>G69/E69*100</f>
        <v>100</v>
      </c>
    </row>
    <row r="70" spans="1:45" ht="22.5" customHeight="1" thickBot="1">
      <c r="A70" s="425" t="s">
        <v>314</v>
      </c>
      <c r="B70" s="140"/>
      <c r="C70" s="136" t="s">
        <v>851</v>
      </c>
      <c r="D70" s="120">
        <v>4500</v>
      </c>
      <c r="E70" s="120">
        <v>4500</v>
      </c>
      <c r="F70" s="120">
        <v>2000</v>
      </c>
      <c r="G70" s="120">
        <f>2500+2000</f>
        <v>4500</v>
      </c>
      <c r="H70" s="120"/>
      <c r="I70" s="320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316"/>
      <c r="AH70" s="315"/>
      <c r="AI70" s="120"/>
      <c r="AJ70" s="120">
        <f t="shared" si="36"/>
        <v>4500</v>
      </c>
      <c r="AK70" s="113">
        <f>D70-AJ70</f>
        <v>0</v>
      </c>
      <c r="AL70" s="172">
        <f>E70-AJ70</f>
        <v>0</v>
      </c>
      <c r="AM70" s="133"/>
      <c r="AN70" s="110"/>
      <c r="AO70" s="110"/>
      <c r="AP70" s="110"/>
      <c r="AQ70" s="110"/>
      <c r="AR70" s="170"/>
      <c r="AS70" s="417">
        <f t="shared" si="8"/>
        <v>100</v>
      </c>
    </row>
    <row r="71" spans="1:45" ht="31.5" customHeight="1" thickBot="1">
      <c r="A71" s="399" t="s">
        <v>690</v>
      </c>
      <c r="B71" s="140"/>
      <c r="C71" s="139" t="s">
        <v>362</v>
      </c>
      <c r="D71" s="121">
        <f>D73</f>
        <v>85452</v>
      </c>
      <c r="E71" s="121">
        <f>E73</f>
        <v>85452</v>
      </c>
      <c r="F71" s="121">
        <f>F73</f>
        <v>75032</v>
      </c>
      <c r="G71" s="121">
        <f>G73</f>
        <v>85452</v>
      </c>
      <c r="H71" s="120"/>
      <c r="I71" s="320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316">
        <f t="shared" si="6"/>
        <v>0</v>
      </c>
      <c r="AH71" s="315">
        <f t="shared" si="2"/>
        <v>75032</v>
      </c>
      <c r="AI71" s="120"/>
      <c r="AJ71" s="121">
        <f t="shared" si="36"/>
        <v>85452</v>
      </c>
      <c r="AK71" s="113">
        <f>D71-AJ71</f>
        <v>0</v>
      </c>
      <c r="AL71" s="172">
        <f>E71-AJ71</f>
        <v>0</v>
      </c>
      <c r="AM71" s="133"/>
      <c r="AN71" s="110"/>
      <c r="AO71" s="110"/>
      <c r="AP71" s="110"/>
      <c r="AQ71" s="110"/>
      <c r="AR71" s="170"/>
      <c r="AS71" s="417">
        <f t="shared" si="8"/>
        <v>100</v>
      </c>
    </row>
    <row r="72" spans="1:45" ht="10.5" customHeight="1" thickBot="1">
      <c r="A72" s="425"/>
      <c r="B72" s="140"/>
      <c r="C72" s="136" t="s">
        <v>778</v>
      </c>
      <c r="D72" s="111"/>
      <c r="E72" s="111"/>
      <c r="F72" s="111"/>
      <c r="G72" s="111"/>
      <c r="H72" s="111"/>
      <c r="I72" s="322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316">
        <f t="shared" si="6"/>
        <v>0</v>
      </c>
      <c r="AH72" s="315">
        <f t="shared" si="2"/>
        <v>0</v>
      </c>
      <c r="AI72" s="120"/>
      <c r="AJ72" s="111"/>
      <c r="AK72" s="113"/>
      <c r="AL72" s="172"/>
      <c r="AM72" s="133"/>
      <c r="AN72" s="110"/>
      <c r="AO72" s="110"/>
      <c r="AP72" s="110"/>
      <c r="AQ72" s="110"/>
      <c r="AR72" s="170">
        <f>AM72+AN72+AO72+AP72+AQ72</f>
        <v>0</v>
      </c>
      <c r="AS72" s="417" t="e">
        <f t="shared" si="8"/>
        <v>#DIV/0!</v>
      </c>
    </row>
    <row r="73" spans="1:45" ht="22.5" customHeight="1" thickBot="1">
      <c r="A73" s="426" t="s">
        <v>675</v>
      </c>
      <c r="B73" s="140"/>
      <c r="C73" s="341" t="s">
        <v>363</v>
      </c>
      <c r="D73" s="120">
        <v>85452</v>
      </c>
      <c r="E73" s="120">
        <v>85452</v>
      </c>
      <c r="F73" s="120">
        <v>75032</v>
      </c>
      <c r="G73" s="120">
        <f>43377+42075</f>
        <v>85452</v>
      </c>
      <c r="H73" s="120"/>
      <c r="I73" s="320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316">
        <f t="shared" si="6"/>
        <v>0</v>
      </c>
      <c r="AH73" s="315">
        <f t="shared" si="2"/>
        <v>75032</v>
      </c>
      <c r="AI73" s="120"/>
      <c r="AJ73" s="147">
        <f>G73</f>
        <v>85452</v>
      </c>
      <c r="AK73" s="113">
        <f>D73-AJ73</f>
        <v>0</v>
      </c>
      <c r="AL73" s="174">
        <f>E73-AJ73</f>
        <v>0</v>
      </c>
      <c r="AM73" s="133"/>
      <c r="AN73" s="110"/>
      <c r="AO73" s="110"/>
      <c r="AP73" s="110"/>
      <c r="AQ73" s="110"/>
      <c r="AR73" s="170"/>
      <c r="AS73" s="417">
        <f t="shared" si="8"/>
        <v>100</v>
      </c>
    </row>
    <row r="74" spans="1:45" ht="23.25" customHeight="1" thickBot="1">
      <c r="A74" s="399" t="s">
        <v>179</v>
      </c>
      <c r="B74" s="140"/>
      <c r="C74" s="139" t="s">
        <v>364</v>
      </c>
      <c r="D74" s="121">
        <f>D76</f>
        <v>127728</v>
      </c>
      <c r="E74" s="121">
        <f>E76</f>
        <v>127728</v>
      </c>
      <c r="F74" s="121">
        <f>F76</f>
        <v>0</v>
      </c>
      <c r="G74" s="121">
        <f>G76</f>
        <v>127728</v>
      </c>
      <c r="H74" s="120"/>
      <c r="I74" s="320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316">
        <f t="shared" si="6"/>
        <v>0</v>
      </c>
      <c r="AH74" s="315">
        <f t="shared" si="2"/>
        <v>0</v>
      </c>
      <c r="AI74" s="120"/>
      <c r="AJ74" s="121">
        <f>G74</f>
        <v>127728</v>
      </c>
      <c r="AK74" s="113">
        <f>D74-AJ74</f>
        <v>0</v>
      </c>
      <c r="AL74" s="172">
        <f>E74-AJ74</f>
        <v>0</v>
      </c>
      <c r="AM74" s="133"/>
      <c r="AN74" s="110"/>
      <c r="AO74" s="110"/>
      <c r="AP74" s="110"/>
      <c r="AQ74" s="110"/>
      <c r="AR74" s="170"/>
      <c r="AS74" s="417">
        <f t="shared" si="8"/>
        <v>100</v>
      </c>
    </row>
    <row r="75" spans="1:45" ht="13.5" customHeight="1" thickBot="1">
      <c r="A75" s="425"/>
      <c r="B75" s="140"/>
      <c r="C75" s="136" t="s">
        <v>778</v>
      </c>
      <c r="D75" s="111"/>
      <c r="E75" s="111"/>
      <c r="F75" s="111"/>
      <c r="G75" s="111"/>
      <c r="H75" s="111"/>
      <c r="I75" s="322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316">
        <f t="shared" si="6"/>
        <v>0</v>
      </c>
      <c r="AH75" s="315">
        <f t="shared" si="2"/>
        <v>0</v>
      </c>
      <c r="AI75" s="120"/>
      <c r="AJ75" s="111"/>
      <c r="AK75" s="113"/>
      <c r="AL75" s="172"/>
      <c r="AM75" s="133"/>
      <c r="AN75" s="110"/>
      <c r="AO75" s="110"/>
      <c r="AP75" s="110"/>
      <c r="AQ75" s="110"/>
      <c r="AR75" s="170">
        <f>AM75+AN75+AO75+AP75+AQ75</f>
        <v>0</v>
      </c>
      <c r="AS75" s="417" t="e">
        <f t="shared" si="8"/>
        <v>#DIV/0!</v>
      </c>
    </row>
    <row r="76" spans="1:45" ht="15" customHeight="1" thickBot="1">
      <c r="A76" s="425" t="s">
        <v>88</v>
      </c>
      <c r="B76" s="140"/>
      <c r="C76" s="136" t="s">
        <v>315</v>
      </c>
      <c r="D76" s="120">
        <f>D77</f>
        <v>127728</v>
      </c>
      <c r="E76" s="120">
        <f>E77</f>
        <v>127728</v>
      </c>
      <c r="F76" s="120">
        <f t="shared" ref="F76" si="41">F77</f>
        <v>0</v>
      </c>
      <c r="G76" s="120">
        <f>168659.5-40931.5</f>
        <v>127728</v>
      </c>
      <c r="H76" s="120"/>
      <c r="I76" s="320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316">
        <f t="shared" si="6"/>
        <v>0</v>
      </c>
      <c r="AH76" s="315">
        <f t="shared" si="2"/>
        <v>0</v>
      </c>
      <c r="AI76" s="120"/>
      <c r="AJ76" s="147">
        <f>G76</f>
        <v>127728</v>
      </c>
      <c r="AK76" s="113">
        <f>D76-AJ76</f>
        <v>0</v>
      </c>
      <c r="AL76" s="174">
        <f>E76-AJ76</f>
        <v>0</v>
      </c>
      <c r="AM76" s="133"/>
      <c r="AN76" s="110"/>
      <c r="AO76" s="110"/>
      <c r="AP76" s="110"/>
      <c r="AQ76" s="110"/>
      <c r="AR76" s="170"/>
      <c r="AS76" s="417">
        <f t="shared" si="8"/>
        <v>100</v>
      </c>
    </row>
    <row r="77" spans="1:45" ht="14.1" customHeight="1" thickBot="1">
      <c r="A77" s="426" t="s">
        <v>798</v>
      </c>
      <c r="B77" s="140"/>
      <c r="C77" s="136" t="s">
        <v>316</v>
      </c>
      <c r="D77" s="120">
        <v>127728</v>
      </c>
      <c r="E77" s="120">
        <v>127728</v>
      </c>
      <c r="F77" s="120"/>
      <c r="G77" s="120">
        <f>168659.5-40931.5</f>
        <v>127728</v>
      </c>
      <c r="H77" s="120"/>
      <c r="I77" s="320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316">
        <f>SUM(I77:AF77)</f>
        <v>0</v>
      </c>
      <c r="AH77" s="315">
        <f>F77+AG77</f>
        <v>0</v>
      </c>
      <c r="AI77" s="120"/>
      <c r="AJ77" s="147">
        <f>G77</f>
        <v>127728</v>
      </c>
      <c r="AK77" s="113">
        <f>D77-AJ77</f>
        <v>0</v>
      </c>
      <c r="AL77" s="174">
        <f>E77-AJ77</f>
        <v>0</v>
      </c>
      <c r="AM77" s="133"/>
      <c r="AN77" s="110"/>
      <c r="AO77" s="110"/>
      <c r="AP77" s="110"/>
      <c r="AQ77" s="110"/>
      <c r="AR77" s="170"/>
      <c r="AS77" s="417">
        <f t="shared" si="8"/>
        <v>100</v>
      </c>
    </row>
    <row r="78" spans="1:45" ht="22.5" customHeight="1" thickBot="1">
      <c r="A78" s="399" t="s">
        <v>180</v>
      </c>
      <c r="B78" s="140"/>
      <c r="C78" s="139" t="s">
        <v>791</v>
      </c>
      <c r="D78" s="121">
        <f>D81</f>
        <v>168659.5</v>
      </c>
      <c r="E78" s="121">
        <f>E81</f>
        <v>168659.5</v>
      </c>
      <c r="F78" s="121">
        <f>F81</f>
        <v>0</v>
      </c>
      <c r="G78" s="121">
        <f>G81</f>
        <v>168659.5</v>
      </c>
      <c r="H78" s="120"/>
      <c r="I78" s="320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316">
        <f t="shared" si="6"/>
        <v>0</v>
      </c>
      <c r="AH78" s="315">
        <f t="shared" si="2"/>
        <v>0</v>
      </c>
      <c r="AI78" s="120"/>
      <c r="AJ78" s="121">
        <f>G78</f>
        <v>168659.5</v>
      </c>
      <c r="AK78" s="113">
        <f>D78-AJ78</f>
        <v>0</v>
      </c>
      <c r="AL78" s="172">
        <f>E78-AJ78</f>
        <v>0</v>
      </c>
      <c r="AM78" s="133"/>
      <c r="AN78" s="110"/>
      <c r="AO78" s="110"/>
      <c r="AP78" s="110"/>
      <c r="AQ78" s="110"/>
      <c r="AR78" s="170"/>
      <c r="AS78" s="417">
        <f t="shared" si="8"/>
        <v>100</v>
      </c>
    </row>
    <row r="79" spans="1:45" ht="11.45" customHeight="1" thickBot="1">
      <c r="A79" s="425"/>
      <c r="B79" s="140"/>
      <c r="C79" s="136" t="s">
        <v>778</v>
      </c>
      <c r="D79" s="111"/>
      <c r="E79" s="111"/>
      <c r="F79" s="111"/>
      <c r="G79" s="111"/>
      <c r="H79" s="111"/>
      <c r="I79" s="322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316">
        <f t="shared" si="6"/>
        <v>0</v>
      </c>
      <c r="AH79" s="315">
        <f t="shared" si="2"/>
        <v>0</v>
      </c>
      <c r="AI79" s="120"/>
      <c r="AJ79" s="111"/>
      <c r="AK79" s="113"/>
      <c r="AL79" s="172"/>
      <c r="AM79" s="133"/>
      <c r="AN79" s="110"/>
      <c r="AO79" s="110"/>
      <c r="AP79" s="110"/>
      <c r="AQ79" s="110"/>
      <c r="AR79" s="170">
        <f>AM79+AN79+AO79+AP79+AQ79</f>
        <v>0</v>
      </c>
      <c r="AS79" s="417" t="e">
        <f t="shared" si="8"/>
        <v>#DIV/0!</v>
      </c>
    </row>
    <row r="80" spans="1:45" ht="15" customHeight="1" thickBot="1">
      <c r="A80" s="425" t="s">
        <v>88</v>
      </c>
      <c r="B80" s="140"/>
      <c r="C80" s="136" t="s">
        <v>793</v>
      </c>
      <c r="D80" s="120">
        <f>D81</f>
        <v>168659.5</v>
      </c>
      <c r="E80" s="120">
        <f>E81</f>
        <v>168659.5</v>
      </c>
      <c r="F80" s="120">
        <f t="shared" ref="F80:G80" si="42">F81</f>
        <v>0</v>
      </c>
      <c r="G80" s="120">
        <f t="shared" si="42"/>
        <v>168659.5</v>
      </c>
      <c r="H80" s="120"/>
      <c r="I80" s="320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316">
        <f t="shared" ref="AG80" si="43">SUM(I80:AF80)</f>
        <v>0</v>
      </c>
      <c r="AH80" s="315">
        <f t="shared" ref="AH80" si="44">F80+AG80</f>
        <v>0</v>
      </c>
      <c r="AI80" s="120"/>
      <c r="AJ80" s="147">
        <f>G80</f>
        <v>168659.5</v>
      </c>
      <c r="AK80" s="113">
        <f>D80-AJ80</f>
        <v>0</v>
      </c>
      <c r="AL80" s="174">
        <f>E80-AJ80</f>
        <v>0</v>
      </c>
      <c r="AM80" s="133"/>
      <c r="AN80" s="110"/>
      <c r="AO80" s="110"/>
      <c r="AP80" s="110"/>
      <c r="AQ80" s="110"/>
      <c r="AR80" s="170"/>
      <c r="AS80" s="417">
        <f t="shared" si="8"/>
        <v>100</v>
      </c>
    </row>
    <row r="81" spans="1:45" ht="24.95" customHeight="1" thickBot="1">
      <c r="A81" s="426" t="s">
        <v>798</v>
      </c>
      <c r="B81" s="140"/>
      <c r="C81" s="136" t="s">
        <v>792</v>
      </c>
      <c r="D81" s="120">
        <v>168659.5</v>
      </c>
      <c r="E81" s="120">
        <v>168659.5</v>
      </c>
      <c r="F81" s="120"/>
      <c r="G81" s="120">
        <v>168659.5</v>
      </c>
      <c r="H81" s="120"/>
      <c r="I81" s="320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316">
        <f t="shared" si="6"/>
        <v>0</v>
      </c>
      <c r="AH81" s="315">
        <f t="shared" si="2"/>
        <v>0</v>
      </c>
      <c r="AI81" s="120"/>
      <c r="AJ81" s="147">
        <f>G81</f>
        <v>168659.5</v>
      </c>
      <c r="AK81" s="113">
        <f>D81-AJ81</f>
        <v>0</v>
      </c>
      <c r="AL81" s="174">
        <f>E81-AJ81</f>
        <v>0</v>
      </c>
      <c r="AM81" s="133"/>
      <c r="AN81" s="110"/>
      <c r="AO81" s="110"/>
      <c r="AP81" s="110"/>
      <c r="AQ81" s="110"/>
      <c r="AR81" s="170"/>
      <c r="AS81" s="417">
        <f t="shared" si="8"/>
        <v>100</v>
      </c>
    </row>
    <row r="82" spans="1:45" ht="13.5" customHeight="1" thickBot="1">
      <c r="A82" s="398" t="s">
        <v>585</v>
      </c>
      <c r="B82" s="142"/>
      <c r="C82" s="139" t="s">
        <v>367</v>
      </c>
      <c r="D82" s="110">
        <f>D84</f>
        <v>0</v>
      </c>
      <c r="E82" s="110">
        <f>E84</f>
        <v>0</v>
      </c>
      <c r="F82" s="110">
        <f>F84</f>
        <v>0</v>
      </c>
      <c r="G82" s="110">
        <f>G84</f>
        <v>0</v>
      </c>
      <c r="H82" s="110"/>
      <c r="I82" s="32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316">
        <f t="shared" si="6"/>
        <v>0</v>
      </c>
      <c r="AH82" s="315">
        <f t="shared" si="2"/>
        <v>0</v>
      </c>
      <c r="AI82" s="120"/>
      <c r="AJ82" s="110">
        <f>G82</f>
        <v>0</v>
      </c>
      <c r="AK82" s="113">
        <f>D82-AJ82</f>
        <v>0</v>
      </c>
      <c r="AL82" s="172">
        <f>E82-AJ82</f>
        <v>0</v>
      </c>
      <c r="AM82" s="133"/>
      <c r="AN82" s="110"/>
      <c r="AO82" s="110"/>
      <c r="AP82" s="110"/>
      <c r="AQ82" s="110"/>
      <c r="AR82" s="170">
        <f>AM82+AN82+AO82+AP82+AQ82</f>
        <v>0</v>
      </c>
      <c r="AS82" s="417" t="e">
        <f t="shared" si="8"/>
        <v>#DIV/0!</v>
      </c>
    </row>
    <row r="83" spans="1:45" ht="0.6" customHeight="1" thickBot="1">
      <c r="A83" s="425"/>
      <c r="B83" s="140"/>
      <c r="C83" s="136" t="s">
        <v>778</v>
      </c>
      <c r="D83" s="111"/>
      <c r="E83" s="111"/>
      <c r="F83" s="111"/>
      <c r="G83" s="111"/>
      <c r="H83" s="111"/>
      <c r="I83" s="322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316">
        <f t="shared" si="6"/>
        <v>0</v>
      </c>
      <c r="AH83" s="315">
        <f t="shared" si="2"/>
        <v>0</v>
      </c>
      <c r="AI83" s="120"/>
      <c r="AJ83" s="111"/>
      <c r="AK83" s="113"/>
      <c r="AL83" s="172"/>
      <c r="AM83" s="133"/>
      <c r="AN83" s="110"/>
      <c r="AO83" s="110"/>
      <c r="AP83" s="110"/>
      <c r="AQ83" s="110"/>
      <c r="AR83" s="170">
        <f>AM83+AN83+AO83+AP83+AQ83</f>
        <v>0</v>
      </c>
      <c r="AS83" s="417" t="e">
        <f t="shared" si="8"/>
        <v>#DIV/0!</v>
      </c>
    </row>
    <row r="84" spans="1:45" ht="15" hidden="1" customHeight="1" thickBot="1">
      <c r="A84" s="425" t="s">
        <v>88</v>
      </c>
      <c r="B84" s="140"/>
      <c r="C84" s="136" t="s">
        <v>794</v>
      </c>
      <c r="D84" s="120">
        <v>0</v>
      </c>
      <c r="E84" s="120">
        <v>0</v>
      </c>
      <c r="F84" s="120">
        <v>0</v>
      </c>
      <c r="G84" s="120">
        <v>0</v>
      </c>
      <c r="H84" s="120"/>
      <c r="I84" s="320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316">
        <f t="shared" si="6"/>
        <v>0</v>
      </c>
      <c r="AH84" s="315">
        <f t="shared" si="2"/>
        <v>0</v>
      </c>
      <c r="AI84" s="120"/>
      <c r="AJ84" s="120">
        <f t="shared" ref="AJ84:AJ101" si="45">G84</f>
        <v>0</v>
      </c>
      <c r="AK84" s="113">
        <f>D84-AJ84</f>
        <v>0</v>
      </c>
      <c r="AL84" s="172">
        <f>E84-AJ84</f>
        <v>0</v>
      </c>
      <c r="AM84" s="133"/>
      <c r="AN84" s="110"/>
      <c r="AO84" s="110"/>
      <c r="AP84" s="110"/>
      <c r="AQ84" s="110"/>
      <c r="AR84" s="170">
        <f>AM84+AN84+AO84+AP84+AQ84</f>
        <v>0</v>
      </c>
      <c r="AS84" s="417" t="e">
        <f t="shared" ref="AS84:AS173" si="46">G84/E84*100</f>
        <v>#DIV/0!</v>
      </c>
    </row>
    <row r="85" spans="1:45" ht="15.6" customHeight="1" thickBot="1">
      <c r="A85" s="427" t="s">
        <v>196</v>
      </c>
      <c r="B85" s="221"/>
      <c r="C85" s="215" t="s">
        <v>368</v>
      </c>
      <c r="D85" s="216">
        <f>D87+D92</f>
        <v>684324.94</v>
      </c>
      <c r="E85" s="216">
        <f>E87+E92</f>
        <v>684324.94</v>
      </c>
      <c r="F85" s="216">
        <f>F87+F92</f>
        <v>1910632.1099999999</v>
      </c>
      <c r="G85" s="216">
        <f>G87+G92</f>
        <v>684324.94</v>
      </c>
      <c r="H85" s="217"/>
      <c r="I85" s="320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316">
        <f t="shared" si="6"/>
        <v>0</v>
      </c>
      <c r="AH85" s="315">
        <f t="shared" si="2"/>
        <v>1910632.1099999999</v>
      </c>
      <c r="AI85" s="217"/>
      <c r="AJ85" s="217">
        <f t="shared" si="45"/>
        <v>684324.94</v>
      </c>
      <c r="AK85" s="219">
        <f>D85-AJ85</f>
        <v>0</v>
      </c>
      <c r="AL85" s="220">
        <f>E85-AJ85</f>
        <v>0</v>
      </c>
      <c r="AM85" s="133"/>
      <c r="AN85" s="110"/>
      <c r="AO85" s="110"/>
      <c r="AP85" s="110"/>
      <c r="AQ85" s="110"/>
      <c r="AR85" s="170"/>
      <c r="AS85" s="417">
        <f t="shared" si="46"/>
        <v>100</v>
      </c>
    </row>
    <row r="86" spans="1:45" ht="11.25" customHeight="1" thickBot="1">
      <c r="A86" s="427"/>
      <c r="B86" s="221"/>
      <c r="C86" s="222" t="s">
        <v>778</v>
      </c>
      <c r="D86" s="217"/>
      <c r="E86" s="217"/>
      <c r="F86" s="217"/>
      <c r="G86" s="217"/>
      <c r="H86" s="217"/>
      <c r="I86" s="320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316">
        <f t="shared" si="6"/>
        <v>0</v>
      </c>
      <c r="AH86" s="315">
        <f t="shared" ref="AH86:AH156" si="47">F86+AG86</f>
        <v>0</v>
      </c>
      <c r="AI86" s="217"/>
      <c r="AJ86" s="217"/>
      <c r="AK86" s="219"/>
      <c r="AL86" s="220"/>
      <c r="AM86" s="133"/>
      <c r="AN86" s="110"/>
      <c r="AO86" s="110"/>
      <c r="AP86" s="110"/>
      <c r="AQ86" s="110"/>
      <c r="AR86" s="170"/>
      <c r="AS86" s="417" t="e">
        <f t="shared" si="46"/>
        <v>#DIV/0!</v>
      </c>
    </row>
    <row r="87" spans="1:45" ht="15.75" customHeight="1" thickBot="1">
      <c r="A87" s="428" t="s">
        <v>133</v>
      </c>
      <c r="B87" s="222"/>
      <c r="C87" s="221" t="s">
        <v>369</v>
      </c>
      <c r="D87" s="217">
        <f>D88+D91</f>
        <v>423869.81</v>
      </c>
      <c r="E87" s="217">
        <f>E88+E91</f>
        <v>423869.81</v>
      </c>
      <c r="F87" s="217">
        <f>F88+F91</f>
        <v>1910632.1099999999</v>
      </c>
      <c r="G87" s="217">
        <f>G88+G91</f>
        <v>423869.81</v>
      </c>
      <c r="H87" s="217"/>
      <c r="I87" s="320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316">
        <f t="shared" si="6"/>
        <v>0</v>
      </c>
      <c r="AH87" s="315">
        <f t="shared" si="47"/>
        <v>1910632.1099999999</v>
      </c>
      <c r="AI87" s="217"/>
      <c r="AJ87" s="217">
        <f t="shared" si="45"/>
        <v>423869.81</v>
      </c>
      <c r="AK87" s="219">
        <f t="shared" ref="AK87:AK95" si="48">D87-AJ87</f>
        <v>0</v>
      </c>
      <c r="AL87" s="220">
        <f t="shared" ref="AL87:AL95" si="49">E87-AJ87</f>
        <v>0</v>
      </c>
      <c r="AM87" s="133"/>
      <c r="AN87" s="110"/>
      <c r="AO87" s="110"/>
      <c r="AP87" s="110"/>
      <c r="AQ87" s="110"/>
      <c r="AR87" s="170"/>
      <c r="AS87" s="417">
        <f t="shared" si="46"/>
        <v>100</v>
      </c>
    </row>
    <row r="88" spans="1:45" ht="15.75" customHeight="1" thickBot="1">
      <c r="A88" s="428" t="s">
        <v>136</v>
      </c>
      <c r="B88" s="222"/>
      <c r="C88" s="221" t="s">
        <v>370</v>
      </c>
      <c r="D88" s="217">
        <f>D90+D89</f>
        <v>418154</v>
      </c>
      <c r="E88" s="217">
        <f>E90+E89</f>
        <v>418154</v>
      </c>
      <c r="F88" s="217">
        <f t="shared" ref="F88:G88" si="50">F90+F89</f>
        <v>989563.11</v>
      </c>
      <c r="G88" s="217">
        <f t="shared" si="50"/>
        <v>418154</v>
      </c>
      <c r="H88" s="217"/>
      <c r="I88" s="320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316">
        <f t="shared" ref="AG88:AG157" si="51">SUM(I88:AF88)</f>
        <v>0</v>
      </c>
      <c r="AH88" s="315">
        <f t="shared" si="47"/>
        <v>989563.11</v>
      </c>
      <c r="AI88" s="217"/>
      <c r="AJ88" s="217">
        <f t="shared" si="45"/>
        <v>418154</v>
      </c>
      <c r="AK88" s="219">
        <f t="shared" si="48"/>
        <v>0</v>
      </c>
      <c r="AL88" s="220">
        <f t="shared" si="49"/>
        <v>0</v>
      </c>
      <c r="AM88" s="133"/>
      <c r="AN88" s="110"/>
      <c r="AO88" s="110"/>
      <c r="AP88" s="110"/>
      <c r="AQ88" s="110"/>
      <c r="AR88" s="170"/>
      <c r="AS88" s="417">
        <f t="shared" si="46"/>
        <v>100</v>
      </c>
    </row>
    <row r="89" spans="1:45" ht="15.75" customHeight="1" thickBot="1">
      <c r="A89" s="428" t="s">
        <v>137</v>
      </c>
      <c r="B89" s="222"/>
      <c r="C89" s="221" t="s">
        <v>994</v>
      </c>
      <c r="D89" s="217">
        <f>D97</f>
        <v>0</v>
      </c>
      <c r="E89" s="217">
        <f>E97</f>
        <v>0</v>
      </c>
      <c r="F89" s="217">
        <f t="shared" ref="F89:G89" si="52">F97</f>
        <v>0</v>
      </c>
      <c r="G89" s="217">
        <f t="shared" si="52"/>
        <v>0</v>
      </c>
      <c r="H89" s="217"/>
      <c r="I89" s="320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316"/>
      <c r="AH89" s="315"/>
      <c r="AI89" s="217"/>
      <c r="AJ89" s="217">
        <f t="shared" si="45"/>
        <v>0</v>
      </c>
      <c r="AK89" s="219">
        <f t="shared" si="48"/>
        <v>0</v>
      </c>
      <c r="AL89" s="220">
        <f t="shared" si="49"/>
        <v>0</v>
      </c>
      <c r="AM89" s="133"/>
      <c r="AN89" s="110"/>
      <c r="AO89" s="110"/>
      <c r="AP89" s="110"/>
      <c r="AQ89" s="110"/>
      <c r="AR89" s="170"/>
    </row>
    <row r="90" spans="1:45" ht="15.75" customHeight="1" thickBot="1">
      <c r="A90" s="428" t="s">
        <v>140</v>
      </c>
      <c r="B90" s="222"/>
      <c r="C90" s="221" t="s">
        <v>371</v>
      </c>
      <c r="D90" s="217">
        <f>D99</f>
        <v>418154</v>
      </c>
      <c r="E90" s="217">
        <f>E99</f>
        <v>418154</v>
      </c>
      <c r="F90" s="217">
        <f>F99</f>
        <v>989563.11</v>
      </c>
      <c r="G90" s="217">
        <f>G99</f>
        <v>418154</v>
      </c>
      <c r="H90" s="217"/>
      <c r="I90" s="320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316">
        <f t="shared" si="51"/>
        <v>0</v>
      </c>
      <c r="AH90" s="315">
        <f t="shared" si="47"/>
        <v>989563.11</v>
      </c>
      <c r="AI90" s="217"/>
      <c r="AJ90" s="217">
        <f t="shared" si="45"/>
        <v>418154</v>
      </c>
      <c r="AK90" s="219">
        <f t="shared" si="48"/>
        <v>0</v>
      </c>
      <c r="AL90" s="220">
        <f t="shared" si="49"/>
        <v>0</v>
      </c>
      <c r="AM90" s="133"/>
      <c r="AN90" s="110"/>
      <c r="AO90" s="110"/>
      <c r="AP90" s="110"/>
      <c r="AQ90" s="110"/>
      <c r="AR90" s="170"/>
      <c r="AS90" s="417">
        <f t="shared" si="46"/>
        <v>100</v>
      </c>
    </row>
    <row r="91" spans="1:45" ht="14.25" customHeight="1" thickBot="1">
      <c r="A91" s="428" t="s">
        <v>88</v>
      </c>
      <c r="B91" s="222"/>
      <c r="C91" s="221" t="s">
        <v>372</v>
      </c>
      <c r="D91" s="217">
        <f>D107+D105</f>
        <v>5715.8099999999995</v>
      </c>
      <c r="E91" s="217">
        <f>E107+E105</f>
        <v>5715.8099999999995</v>
      </c>
      <c r="F91" s="217">
        <f t="shared" ref="F91:G91" si="53">F107+F105</f>
        <v>921069</v>
      </c>
      <c r="G91" s="217">
        <f t="shared" si="53"/>
        <v>5715.8099999999995</v>
      </c>
      <c r="H91" s="217"/>
      <c r="I91" s="320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316">
        <f t="shared" si="51"/>
        <v>0</v>
      </c>
      <c r="AH91" s="315">
        <f t="shared" si="47"/>
        <v>921069</v>
      </c>
      <c r="AI91" s="217"/>
      <c r="AJ91" s="217">
        <f t="shared" si="45"/>
        <v>5715.8099999999995</v>
      </c>
      <c r="AK91" s="219">
        <f t="shared" si="48"/>
        <v>0</v>
      </c>
      <c r="AL91" s="220">
        <f t="shared" si="49"/>
        <v>0</v>
      </c>
      <c r="AM91" s="133"/>
      <c r="AN91" s="110"/>
      <c r="AO91" s="110"/>
      <c r="AP91" s="110"/>
      <c r="AQ91" s="110"/>
      <c r="AR91" s="170"/>
      <c r="AS91" s="417">
        <f t="shared" si="46"/>
        <v>100</v>
      </c>
    </row>
    <row r="92" spans="1:45" ht="15.95" customHeight="1" thickBot="1">
      <c r="A92" s="428" t="s">
        <v>141</v>
      </c>
      <c r="B92" s="222"/>
      <c r="C92" s="221" t="s">
        <v>802</v>
      </c>
      <c r="D92" s="217">
        <f>D93+D94</f>
        <v>260455.13</v>
      </c>
      <c r="E92" s="217">
        <f>E93+E94</f>
        <v>260455.13</v>
      </c>
      <c r="F92" s="217">
        <f t="shared" ref="F92" si="54">F93+F94</f>
        <v>0</v>
      </c>
      <c r="G92" s="217">
        <f>G93+G94</f>
        <v>260455.13</v>
      </c>
      <c r="H92" s="217"/>
      <c r="I92" s="13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316">
        <f t="shared" si="51"/>
        <v>0</v>
      </c>
      <c r="AH92" s="315">
        <f t="shared" si="47"/>
        <v>0</v>
      </c>
      <c r="AI92" s="217"/>
      <c r="AJ92" s="217">
        <f t="shared" si="45"/>
        <v>260455.13</v>
      </c>
      <c r="AK92" s="219">
        <f t="shared" si="48"/>
        <v>0</v>
      </c>
      <c r="AL92" s="220">
        <f t="shared" si="49"/>
        <v>0</v>
      </c>
      <c r="AM92" s="133"/>
      <c r="AN92" s="110"/>
      <c r="AO92" s="110"/>
      <c r="AP92" s="110"/>
      <c r="AQ92" s="110"/>
      <c r="AR92" s="170"/>
      <c r="AS92" s="417">
        <f t="shared" si="46"/>
        <v>100</v>
      </c>
    </row>
    <row r="93" spans="1:45" ht="16.5" customHeight="1" thickBot="1">
      <c r="A93" s="428" t="s">
        <v>768</v>
      </c>
      <c r="B93" s="222"/>
      <c r="C93" s="221" t="s">
        <v>1044</v>
      </c>
      <c r="D93" s="217">
        <f>D100</f>
        <v>108147</v>
      </c>
      <c r="E93" s="217">
        <f>E100</f>
        <v>108147</v>
      </c>
      <c r="F93" s="217"/>
      <c r="G93" s="217">
        <f>G100</f>
        <v>108147</v>
      </c>
      <c r="H93" s="217"/>
      <c r="I93" s="320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316">
        <f t="shared" si="51"/>
        <v>0</v>
      </c>
      <c r="AH93" s="315">
        <f t="shared" si="47"/>
        <v>0</v>
      </c>
      <c r="AI93" s="217"/>
      <c r="AJ93" s="217">
        <f t="shared" si="45"/>
        <v>108147</v>
      </c>
      <c r="AK93" s="219">
        <f t="shared" si="48"/>
        <v>0</v>
      </c>
      <c r="AL93" s="220">
        <f t="shared" si="49"/>
        <v>0</v>
      </c>
      <c r="AM93" s="133"/>
      <c r="AN93" s="110"/>
      <c r="AO93" s="110"/>
      <c r="AP93" s="110"/>
      <c r="AQ93" s="110"/>
      <c r="AR93" s="170"/>
      <c r="AS93" s="417">
        <f t="shared" si="46"/>
        <v>100</v>
      </c>
    </row>
    <row r="94" spans="1:45" ht="16.5" customHeight="1" thickBot="1">
      <c r="A94" s="428" t="s">
        <v>721</v>
      </c>
      <c r="B94" s="221"/>
      <c r="C94" s="221" t="s">
        <v>803</v>
      </c>
      <c r="D94" s="217">
        <f>D101</f>
        <v>152308.13</v>
      </c>
      <c r="E94" s="217">
        <f>E101</f>
        <v>152308.13</v>
      </c>
      <c r="F94" s="217">
        <f t="shared" ref="F94" si="55">F101</f>
        <v>0</v>
      </c>
      <c r="G94" s="217">
        <f>G101</f>
        <v>152308.13</v>
      </c>
      <c r="H94" s="217"/>
      <c r="I94" s="320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316">
        <f t="shared" si="51"/>
        <v>0</v>
      </c>
      <c r="AH94" s="315">
        <f t="shared" si="47"/>
        <v>0</v>
      </c>
      <c r="AI94" s="217"/>
      <c r="AJ94" s="217">
        <f t="shared" si="45"/>
        <v>152308.13</v>
      </c>
      <c r="AK94" s="219">
        <f t="shared" si="48"/>
        <v>0</v>
      </c>
      <c r="AL94" s="220">
        <f t="shared" si="49"/>
        <v>0</v>
      </c>
      <c r="AM94" s="133"/>
      <c r="AN94" s="110"/>
      <c r="AO94" s="110"/>
      <c r="AP94" s="110"/>
      <c r="AQ94" s="110"/>
      <c r="AR94" s="170"/>
      <c r="AS94" s="417">
        <f t="shared" si="46"/>
        <v>100</v>
      </c>
    </row>
    <row r="95" spans="1:45" ht="16.5" customHeight="1" thickBot="1">
      <c r="A95" s="399" t="s">
        <v>196</v>
      </c>
      <c r="B95" s="146"/>
      <c r="C95" s="151" t="s">
        <v>373</v>
      </c>
      <c r="D95" s="148">
        <f>D99+D101+D107+D105+D97+D100</f>
        <v>684324.94000000006</v>
      </c>
      <c r="E95" s="148">
        <f>E99+E101+E107+E105+E97+E100</f>
        <v>684324.94000000006</v>
      </c>
      <c r="F95" s="148">
        <f t="shared" ref="F95:G95" si="56">F99+F101+F107+F105+F97+F100</f>
        <v>1910632.1099999999</v>
      </c>
      <c r="G95" s="148">
        <f t="shared" si="56"/>
        <v>684324.94000000006</v>
      </c>
      <c r="H95" s="148"/>
      <c r="I95" s="323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316">
        <f t="shared" si="51"/>
        <v>0</v>
      </c>
      <c r="AH95" s="315">
        <f t="shared" si="47"/>
        <v>1910632.1099999999</v>
      </c>
      <c r="AI95" s="147"/>
      <c r="AJ95" s="148">
        <f t="shared" si="45"/>
        <v>684324.94000000006</v>
      </c>
      <c r="AK95" s="113">
        <f t="shared" si="48"/>
        <v>0</v>
      </c>
      <c r="AL95" s="174">
        <f t="shared" si="49"/>
        <v>0</v>
      </c>
      <c r="AM95" s="162"/>
      <c r="AN95" s="157"/>
      <c r="AO95" s="157"/>
      <c r="AP95" s="157"/>
      <c r="AQ95" s="157"/>
      <c r="AR95" s="170">
        <f>AM95+AN95+AO95+AP95+AQ95</f>
        <v>0</v>
      </c>
      <c r="AS95" s="417">
        <f t="shared" si="46"/>
        <v>100</v>
      </c>
    </row>
    <row r="96" spans="1:45" ht="12" customHeight="1" thickBot="1">
      <c r="A96" s="399"/>
      <c r="B96" s="146"/>
      <c r="C96" s="136" t="s">
        <v>778</v>
      </c>
      <c r="D96" s="148"/>
      <c r="E96" s="148"/>
      <c r="F96" s="148"/>
      <c r="G96" s="148"/>
      <c r="H96" s="148"/>
      <c r="I96" s="323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316">
        <f t="shared" si="51"/>
        <v>0</v>
      </c>
      <c r="AH96" s="315">
        <f t="shared" si="47"/>
        <v>0</v>
      </c>
      <c r="AI96" s="147"/>
      <c r="AJ96" s="147"/>
      <c r="AK96" s="113"/>
      <c r="AL96" s="174"/>
      <c r="AM96" s="162"/>
      <c r="AN96" s="157"/>
      <c r="AO96" s="157"/>
      <c r="AP96" s="157"/>
      <c r="AQ96" s="157"/>
      <c r="AR96" s="170"/>
      <c r="AS96" s="417" t="e">
        <f t="shared" si="46"/>
        <v>#DIV/0!</v>
      </c>
    </row>
    <row r="97" spans="1:45" ht="15.6" hidden="1" customHeight="1" thickBot="1">
      <c r="A97" s="426" t="s">
        <v>137</v>
      </c>
      <c r="B97" s="146"/>
      <c r="C97" s="152" t="s">
        <v>993</v>
      </c>
      <c r="D97" s="147"/>
      <c r="E97" s="147"/>
      <c r="F97" s="147"/>
      <c r="G97" s="147"/>
      <c r="H97" s="147"/>
      <c r="I97" s="320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316">
        <f t="shared" si="51"/>
        <v>0</v>
      </c>
      <c r="AH97" s="315">
        <f t="shared" si="47"/>
        <v>0</v>
      </c>
      <c r="AI97" s="147"/>
      <c r="AJ97" s="147">
        <f t="shared" si="45"/>
        <v>0</v>
      </c>
      <c r="AK97" s="113">
        <f t="shared" ref="AK97:AK111" si="57">D97-AJ97</f>
        <v>0</v>
      </c>
      <c r="AL97" s="174">
        <f t="shared" ref="AL97:AL111" si="58">E97-AJ97</f>
        <v>0</v>
      </c>
      <c r="AM97" s="162"/>
      <c r="AN97" s="157"/>
      <c r="AO97" s="157"/>
      <c r="AP97" s="157"/>
      <c r="AQ97" s="157"/>
      <c r="AR97" s="170">
        <f>AM97+AN97+AO97+AP97+AQ97</f>
        <v>0</v>
      </c>
      <c r="AS97" s="417" t="e">
        <f t="shared" si="46"/>
        <v>#DIV/0!</v>
      </c>
    </row>
    <row r="98" spans="1:45" ht="15.75" hidden="1" customHeight="1" thickBot="1">
      <c r="A98" s="426" t="s">
        <v>139</v>
      </c>
      <c r="B98" s="146"/>
      <c r="C98" s="152" t="s">
        <v>374</v>
      </c>
      <c r="D98" s="147"/>
      <c r="E98" s="147"/>
      <c r="F98" s="147">
        <v>0</v>
      </c>
      <c r="G98" s="147"/>
      <c r="H98" s="147"/>
      <c r="I98" s="320"/>
      <c r="J98" s="191"/>
      <c r="K98" s="324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316">
        <f t="shared" si="51"/>
        <v>0</v>
      </c>
      <c r="AH98" s="315">
        <f t="shared" si="47"/>
        <v>0</v>
      </c>
      <c r="AI98" s="147"/>
      <c r="AJ98" s="147">
        <f t="shared" si="45"/>
        <v>0</v>
      </c>
      <c r="AK98" s="113">
        <f t="shared" si="57"/>
        <v>0</v>
      </c>
      <c r="AL98" s="174">
        <f t="shared" si="58"/>
        <v>0</v>
      </c>
      <c r="AM98" s="162"/>
      <c r="AN98" s="157"/>
      <c r="AO98" s="157"/>
      <c r="AP98" s="157"/>
      <c r="AQ98" s="157"/>
      <c r="AR98" s="170">
        <f>AM98+AN98+AO98+AP98+AQ98</f>
        <v>0</v>
      </c>
      <c r="AS98" s="417" t="e">
        <f t="shared" si="46"/>
        <v>#DIV/0!</v>
      </c>
    </row>
    <row r="99" spans="1:45" ht="15.75" customHeight="1" thickBot="1">
      <c r="A99" s="426" t="s">
        <v>140</v>
      </c>
      <c r="B99" s="146"/>
      <c r="C99" s="152" t="s">
        <v>375</v>
      </c>
      <c r="D99" s="147">
        <v>418154</v>
      </c>
      <c r="E99" s="147">
        <v>418154</v>
      </c>
      <c r="F99" s="147">
        <v>989563.11</v>
      </c>
      <c r="G99" s="147">
        <f>100000+54064+26512+10000+10000+10000+10000+34000+10000+25000+68578+60000</f>
        <v>418154</v>
      </c>
      <c r="H99" s="147"/>
      <c r="I99" s="320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316">
        <f t="shared" si="51"/>
        <v>0</v>
      </c>
      <c r="AH99" s="315">
        <f t="shared" si="47"/>
        <v>989563.11</v>
      </c>
      <c r="AI99" s="127"/>
      <c r="AJ99" s="147">
        <f t="shared" si="45"/>
        <v>418154</v>
      </c>
      <c r="AK99" s="113">
        <f t="shared" si="57"/>
        <v>0</v>
      </c>
      <c r="AL99" s="174">
        <f t="shared" si="58"/>
        <v>0</v>
      </c>
      <c r="AM99" s="166">
        <v>25000</v>
      </c>
      <c r="AN99" s="157"/>
      <c r="AO99" s="157"/>
      <c r="AP99" s="157"/>
      <c r="AQ99" s="157"/>
      <c r="AR99" s="170">
        <f>AM99+AN99+AO99+AP99+AQ99</f>
        <v>25000</v>
      </c>
      <c r="AS99" s="417">
        <f t="shared" si="46"/>
        <v>100</v>
      </c>
    </row>
    <row r="100" spans="1:45" ht="15.75" customHeight="1" thickBot="1">
      <c r="A100" s="426" t="s">
        <v>143</v>
      </c>
      <c r="B100" s="146"/>
      <c r="C100" s="152" t="s">
        <v>1045</v>
      </c>
      <c r="D100" s="147">
        <v>108147</v>
      </c>
      <c r="E100" s="147">
        <v>108147</v>
      </c>
      <c r="F100" s="147"/>
      <c r="G100" s="147">
        <v>108147</v>
      </c>
      <c r="H100" s="147"/>
      <c r="I100" s="320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316"/>
      <c r="AH100" s="315"/>
      <c r="AI100" s="127"/>
      <c r="AJ100" s="147">
        <f t="shared" si="45"/>
        <v>108147</v>
      </c>
      <c r="AK100" s="113">
        <f t="shared" si="57"/>
        <v>0</v>
      </c>
      <c r="AL100" s="174">
        <f t="shared" si="58"/>
        <v>0</v>
      </c>
      <c r="AM100" s="166"/>
      <c r="AN100" s="157"/>
      <c r="AO100" s="157"/>
      <c r="AP100" s="157"/>
      <c r="AQ100" s="157"/>
      <c r="AR100" s="170"/>
    </row>
    <row r="101" spans="1:45" ht="14.45" customHeight="1" thickBot="1">
      <c r="A101" s="425" t="s">
        <v>721</v>
      </c>
      <c r="B101" s="146"/>
      <c r="C101" s="152" t="s">
        <v>796</v>
      </c>
      <c r="D101" s="147">
        <f>D102+D104+D103</f>
        <v>152308.13</v>
      </c>
      <c r="E101" s="147">
        <f>E102+E104+E103</f>
        <v>152308.13</v>
      </c>
      <c r="F101" s="147">
        <f t="shared" ref="F101:G101" si="59">F102+F104+F103</f>
        <v>0</v>
      </c>
      <c r="G101" s="147">
        <f t="shared" si="59"/>
        <v>152308.13</v>
      </c>
      <c r="H101" s="147"/>
      <c r="I101" s="320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316">
        <f>SUM(I101:AF101)</f>
        <v>0</v>
      </c>
      <c r="AH101" s="315">
        <f>F101+AG101</f>
        <v>0</v>
      </c>
      <c r="AI101" s="147"/>
      <c r="AJ101" s="147">
        <f t="shared" si="45"/>
        <v>152308.13</v>
      </c>
      <c r="AK101" s="113">
        <f t="shared" si="57"/>
        <v>0</v>
      </c>
      <c r="AL101" s="174">
        <f t="shared" si="58"/>
        <v>0</v>
      </c>
      <c r="AM101" s="162"/>
      <c r="AN101" s="157"/>
      <c r="AO101" s="157"/>
      <c r="AP101" s="157"/>
      <c r="AQ101" s="157"/>
      <c r="AR101" s="170">
        <f>AM101+AN101+AO101+AP101+AQ101</f>
        <v>0</v>
      </c>
      <c r="AS101" s="417">
        <f t="shared" si="46"/>
        <v>100</v>
      </c>
    </row>
    <row r="102" spans="1:45" ht="13.5" customHeight="1" thickBot="1">
      <c r="A102" s="425" t="s">
        <v>801</v>
      </c>
      <c r="B102" s="146"/>
      <c r="C102" s="152" t="s">
        <v>799</v>
      </c>
      <c r="D102" s="147">
        <v>20000</v>
      </c>
      <c r="E102" s="147">
        <v>20000</v>
      </c>
      <c r="F102" s="147"/>
      <c r="G102" s="147">
        <v>20000</v>
      </c>
      <c r="H102" s="147"/>
      <c r="I102" s="320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316"/>
      <c r="AH102" s="315"/>
      <c r="AI102" s="147"/>
      <c r="AJ102" s="147">
        <f t="shared" ref="AJ102:AJ106" si="60">G102</f>
        <v>20000</v>
      </c>
      <c r="AK102" s="113">
        <f t="shared" ref="AK102:AK106" si="61">D102-AJ102</f>
        <v>0</v>
      </c>
      <c r="AL102" s="174">
        <f t="shared" ref="AL102:AL106" si="62">E102-AJ102</f>
        <v>0</v>
      </c>
      <c r="AM102" s="162"/>
      <c r="AN102" s="157"/>
      <c r="AO102" s="157"/>
      <c r="AP102" s="157"/>
      <c r="AQ102" s="157"/>
      <c r="AR102" s="170"/>
      <c r="AS102" s="417">
        <f t="shared" si="46"/>
        <v>100</v>
      </c>
    </row>
    <row r="103" spans="1:45" ht="16.5" customHeight="1" thickBot="1">
      <c r="A103" s="425" t="s">
        <v>319</v>
      </c>
      <c r="B103" s="146"/>
      <c r="C103" s="152" t="s">
        <v>917</v>
      </c>
      <c r="D103" s="147">
        <v>4740</v>
      </c>
      <c r="E103" s="147">
        <v>4740</v>
      </c>
      <c r="F103" s="147"/>
      <c r="G103" s="147">
        <v>4740</v>
      </c>
      <c r="H103" s="147"/>
      <c r="I103" s="320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316"/>
      <c r="AH103" s="315"/>
      <c r="AI103" s="147"/>
      <c r="AJ103" s="147">
        <f t="shared" ref="AJ103" si="63">G103</f>
        <v>4740</v>
      </c>
      <c r="AK103" s="113">
        <f t="shared" ref="AK103" si="64">D103-AJ103</f>
        <v>0</v>
      </c>
      <c r="AL103" s="174">
        <f t="shared" ref="AL103" si="65">E103-AJ103</f>
        <v>0</v>
      </c>
      <c r="AM103" s="162"/>
      <c r="AN103" s="157"/>
      <c r="AO103" s="157"/>
      <c r="AP103" s="157"/>
      <c r="AQ103" s="157"/>
      <c r="AR103" s="170"/>
      <c r="AS103" s="417">
        <f t="shared" ref="AS103" si="66">G103/E103*100</f>
        <v>100</v>
      </c>
    </row>
    <row r="104" spans="1:45" ht="20.45" customHeight="1" thickBot="1">
      <c r="A104" s="425" t="s">
        <v>314</v>
      </c>
      <c r="B104" s="146"/>
      <c r="C104" s="152" t="s">
        <v>800</v>
      </c>
      <c r="D104" s="147">
        <v>127568.13</v>
      </c>
      <c r="E104" s="147">
        <v>127568.13</v>
      </c>
      <c r="F104" s="147"/>
      <c r="G104" s="147">
        <f>735+96240.13+30000+593</f>
        <v>127568.13</v>
      </c>
      <c r="H104" s="147"/>
      <c r="I104" s="320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316"/>
      <c r="AH104" s="315"/>
      <c r="AI104" s="147"/>
      <c r="AJ104" s="147">
        <f t="shared" si="60"/>
        <v>127568.13</v>
      </c>
      <c r="AK104" s="113">
        <f t="shared" si="61"/>
        <v>0</v>
      </c>
      <c r="AL104" s="174">
        <f t="shared" si="62"/>
        <v>0</v>
      </c>
      <c r="AM104" s="162"/>
      <c r="AN104" s="157"/>
      <c r="AO104" s="157"/>
      <c r="AP104" s="157"/>
      <c r="AQ104" s="157"/>
      <c r="AR104" s="170"/>
      <c r="AS104" s="417">
        <f t="shared" si="46"/>
        <v>100</v>
      </c>
    </row>
    <row r="105" spans="1:45" ht="15" customHeight="1" thickBot="1">
      <c r="A105" s="426" t="s">
        <v>88</v>
      </c>
      <c r="B105" s="146"/>
      <c r="C105" s="152" t="s">
        <v>865</v>
      </c>
      <c r="D105" s="147">
        <f>D106</f>
        <v>2512</v>
      </c>
      <c r="E105" s="147">
        <f>E106</f>
        <v>2512</v>
      </c>
      <c r="F105" s="147">
        <f t="shared" ref="F105:G105" si="67">F106</f>
        <v>0</v>
      </c>
      <c r="G105" s="147">
        <f t="shared" si="67"/>
        <v>2512</v>
      </c>
      <c r="H105" s="147"/>
      <c r="I105" s="320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316"/>
      <c r="AH105" s="315"/>
      <c r="AI105" s="147"/>
      <c r="AJ105" s="147">
        <f t="shared" si="60"/>
        <v>2512</v>
      </c>
      <c r="AK105" s="113">
        <f t="shared" si="61"/>
        <v>0</v>
      </c>
      <c r="AL105" s="174">
        <f t="shared" si="62"/>
        <v>0</v>
      </c>
      <c r="AM105" s="162"/>
      <c r="AN105" s="157"/>
      <c r="AO105" s="157"/>
      <c r="AP105" s="157"/>
      <c r="AQ105" s="157"/>
      <c r="AR105" s="170"/>
      <c r="AS105" s="417">
        <f t="shared" si="46"/>
        <v>100</v>
      </c>
    </row>
    <row r="106" spans="1:45" ht="16.5" customHeight="1" thickBot="1">
      <c r="A106" s="426" t="s">
        <v>789</v>
      </c>
      <c r="B106" s="146"/>
      <c r="C106" s="152" t="s">
        <v>866</v>
      </c>
      <c r="D106" s="147">
        <v>2512</v>
      </c>
      <c r="E106" s="147">
        <v>2512</v>
      </c>
      <c r="F106" s="147"/>
      <c r="G106" s="147">
        <f>411+2101</f>
        <v>2512</v>
      </c>
      <c r="H106" s="147"/>
      <c r="I106" s="320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316"/>
      <c r="AH106" s="315"/>
      <c r="AI106" s="147"/>
      <c r="AJ106" s="147">
        <f t="shared" si="60"/>
        <v>2512</v>
      </c>
      <c r="AK106" s="113">
        <f t="shared" si="61"/>
        <v>0</v>
      </c>
      <c r="AL106" s="174">
        <f t="shared" si="62"/>
        <v>0</v>
      </c>
      <c r="AM106" s="162"/>
      <c r="AN106" s="157"/>
      <c r="AO106" s="157"/>
      <c r="AP106" s="157"/>
      <c r="AQ106" s="157"/>
      <c r="AR106" s="170"/>
      <c r="AS106" s="417">
        <f t="shared" si="46"/>
        <v>100</v>
      </c>
    </row>
    <row r="107" spans="1:45" ht="15.95" customHeight="1" thickBot="1">
      <c r="A107" s="426" t="s">
        <v>88</v>
      </c>
      <c r="B107" s="140"/>
      <c r="C107" s="152" t="s">
        <v>376</v>
      </c>
      <c r="D107" s="120">
        <f>D108+D111+D109+D110</f>
        <v>3203.81</v>
      </c>
      <c r="E107" s="120">
        <f>E108+E111+E109+E110</f>
        <v>3203.81</v>
      </c>
      <c r="F107" s="120">
        <f t="shared" ref="F107:G107" si="68">F108+F111+F109+F110</f>
        <v>921069</v>
      </c>
      <c r="G107" s="120">
        <f t="shared" si="68"/>
        <v>3203.81</v>
      </c>
      <c r="H107" s="120"/>
      <c r="I107" s="320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316">
        <f t="shared" si="51"/>
        <v>0</v>
      </c>
      <c r="AH107" s="315">
        <f t="shared" si="47"/>
        <v>921069</v>
      </c>
      <c r="AI107" s="120"/>
      <c r="AJ107" s="147">
        <f t="shared" ref="AJ107:AJ112" si="69">G107</f>
        <v>3203.81</v>
      </c>
      <c r="AK107" s="113">
        <f t="shared" si="57"/>
        <v>0</v>
      </c>
      <c r="AL107" s="174">
        <f t="shared" si="58"/>
        <v>0</v>
      </c>
      <c r="AM107" s="133"/>
      <c r="AN107" s="110"/>
      <c r="AO107" s="110"/>
      <c r="AP107" s="110"/>
      <c r="AQ107" s="110"/>
      <c r="AR107" s="170"/>
      <c r="AS107" s="417">
        <f t="shared" si="46"/>
        <v>100</v>
      </c>
    </row>
    <row r="108" spans="1:45" ht="18" hidden="1" customHeight="1" thickBot="1">
      <c r="A108" s="426" t="s">
        <v>789</v>
      </c>
      <c r="B108" s="140"/>
      <c r="C108" s="152" t="s">
        <v>859</v>
      </c>
      <c r="D108" s="120">
        <v>0</v>
      </c>
      <c r="E108" s="120">
        <v>0</v>
      </c>
      <c r="F108" s="120">
        <v>0</v>
      </c>
      <c r="G108" s="120"/>
      <c r="H108" s="120"/>
      <c r="I108" s="320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316">
        <f t="shared" si="51"/>
        <v>0</v>
      </c>
      <c r="AH108" s="315">
        <f t="shared" si="47"/>
        <v>0</v>
      </c>
      <c r="AI108" s="120"/>
      <c r="AJ108" s="147">
        <f t="shared" si="69"/>
        <v>0</v>
      </c>
      <c r="AK108" s="113">
        <f t="shared" si="57"/>
        <v>0</v>
      </c>
      <c r="AL108" s="174">
        <f t="shared" si="58"/>
        <v>0</v>
      </c>
      <c r="AM108" s="133"/>
      <c r="AN108" s="110"/>
      <c r="AO108" s="110"/>
      <c r="AP108" s="110"/>
      <c r="AQ108" s="110"/>
      <c r="AR108" s="170"/>
      <c r="AS108" s="417" t="e">
        <f t="shared" si="46"/>
        <v>#DIV/0!</v>
      </c>
    </row>
    <row r="109" spans="1:45" ht="0.75" customHeight="1" thickBot="1">
      <c r="A109" s="426" t="s">
        <v>790</v>
      </c>
      <c r="B109" s="140"/>
      <c r="C109" s="152" t="s">
        <v>867</v>
      </c>
      <c r="D109" s="120">
        <v>0</v>
      </c>
      <c r="E109" s="120">
        <v>0</v>
      </c>
      <c r="F109" s="120">
        <v>307023</v>
      </c>
      <c r="G109" s="120"/>
      <c r="H109" s="120"/>
      <c r="I109" s="320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316">
        <f t="shared" ref="AG109" si="70">SUM(I109:AF109)</f>
        <v>0</v>
      </c>
      <c r="AH109" s="315">
        <f t="shared" ref="AH109:AH110" si="71">F109+AG109</f>
        <v>307023</v>
      </c>
      <c r="AI109" s="120"/>
      <c r="AJ109" s="147">
        <f t="shared" si="69"/>
        <v>0</v>
      </c>
      <c r="AK109" s="113">
        <f t="shared" ref="AK109:AK110" si="72">D109-AJ109</f>
        <v>0</v>
      </c>
      <c r="AL109" s="174">
        <f t="shared" ref="AL109:AL110" si="73">E109-AJ109</f>
        <v>0</v>
      </c>
      <c r="AM109" s="133"/>
      <c r="AN109" s="110"/>
      <c r="AO109" s="110"/>
      <c r="AP109" s="110"/>
      <c r="AQ109" s="110"/>
      <c r="AR109" s="170"/>
      <c r="AS109" s="417" t="e">
        <f t="shared" ref="AS109:AS110" si="74">G109/E109*100</f>
        <v>#DIV/0!</v>
      </c>
    </row>
    <row r="110" spans="1:45" ht="16.5" customHeight="1" thickBot="1">
      <c r="A110" s="426" t="s">
        <v>919</v>
      </c>
      <c r="B110" s="140"/>
      <c r="C110" s="152" t="s">
        <v>1037</v>
      </c>
      <c r="D110" s="120">
        <v>22.31</v>
      </c>
      <c r="E110" s="120">
        <v>22.31</v>
      </c>
      <c r="F110" s="120">
        <v>307023</v>
      </c>
      <c r="G110" s="120">
        <v>22.31</v>
      </c>
      <c r="H110" s="120"/>
      <c r="I110" s="320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316">
        <f t="shared" ref="AG110" si="75">SUM(I110:AF110)</f>
        <v>0</v>
      </c>
      <c r="AH110" s="315">
        <f t="shared" si="71"/>
        <v>307023</v>
      </c>
      <c r="AI110" s="120"/>
      <c r="AJ110" s="147">
        <f t="shared" si="69"/>
        <v>22.31</v>
      </c>
      <c r="AK110" s="113">
        <f t="shared" si="72"/>
        <v>0</v>
      </c>
      <c r="AL110" s="174">
        <f t="shared" si="73"/>
        <v>0</v>
      </c>
      <c r="AM110" s="133"/>
      <c r="AN110" s="110"/>
      <c r="AO110" s="110"/>
      <c r="AP110" s="110"/>
      <c r="AQ110" s="110"/>
      <c r="AR110" s="170"/>
      <c r="AS110" s="417">
        <f t="shared" si="74"/>
        <v>100</v>
      </c>
    </row>
    <row r="111" spans="1:45" ht="20.25" customHeight="1" thickBot="1">
      <c r="A111" s="426" t="s">
        <v>798</v>
      </c>
      <c r="B111" s="140"/>
      <c r="C111" s="152" t="s">
        <v>795</v>
      </c>
      <c r="D111" s="120">
        <v>3181.5</v>
      </c>
      <c r="E111" s="120">
        <v>3181.5</v>
      </c>
      <c r="F111" s="120">
        <v>307023</v>
      </c>
      <c r="G111" s="120">
        <v>3181.5</v>
      </c>
      <c r="H111" s="120"/>
      <c r="I111" s="320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316">
        <f t="shared" si="51"/>
        <v>0</v>
      </c>
      <c r="AH111" s="315">
        <f t="shared" si="47"/>
        <v>307023</v>
      </c>
      <c r="AI111" s="120"/>
      <c r="AJ111" s="147">
        <f t="shared" si="69"/>
        <v>3181.5</v>
      </c>
      <c r="AK111" s="113">
        <f t="shared" si="57"/>
        <v>0</v>
      </c>
      <c r="AL111" s="174">
        <f t="shared" si="58"/>
        <v>0</v>
      </c>
      <c r="AM111" s="133"/>
      <c r="AN111" s="110"/>
      <c r="AO111" s="110"/>
      <c r="AP111" s="110"/>
      <c r="AQ111" s="110"/>
      <c r="AR111" s="170"/>
      <c r="AS111" s="417">
        <f t="shared" si="46"/>
        <v>100</v>
      </c>
    </row>
    <row r="112" spans="1:45" ht="13.5" customHeight="1" thickBot="1">
      <c r="A112" s="429" t="s">
        <v>709</v>
      </c>
      <c r="B112" s="153"/>
      <c r="C112" s="150" t="s">
        <v>377</v>
      </c>
      <c r="D112" s="116">
        <f>SUM(D114:D120)</f>
        <v>436100</v>
      </c>
      <c r="E112" s="116">
        <f>SUM(E114:E120)</f>
        <v>436100</v>
      </c>
      <c r="F112" s="116">
        <f>SUM(F114:F120)</f>
        <v>236491.8</v>
      </c>
      <c r="G112" s="116">
        <f>SUM(G114:G120)</f>
        <v>436100</v>
      </c>
      <c r="H112" s="116"/>
      <c r="I112" s="32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316">
        <f t="shared" si="51"/>
        <v>0</v>
      </c>
      <c r="AH112" s="315">
        <f t="shared" si="47"/>
        <v>236491.8</v>
      </c>
      <c r="AI112" s="126"/>
      <c r="AJ112" s="118">
        <f t="shared" si="69"/>
        <v>436100</v>
      </c>
      <c r="AK112" s="178">
        <f t="shared" ref="AK112" si="76">D112-AJ112</f>
        <v>0</v>
      </c>
      <c r="AL112" s="171">
        <f t="shared" ref="AL112" si="77">E112-AJ112</f>
        <v>0</v>
      </c>
      <c r="AM112" s="161"/>
      <c r="AN112" s="115"/>
      <c r="AO112" s="115"/>
      <c r="AP112" s="115"/>
      <c r="AQ112" s="115"/>
      <c r="AR112" s="170">
        <f t="shared" ref="AR112:AR157" si="78">AM112+AN112+AO112+AP112+AQ112</f>
        <v>0</v>
      </c>
      <c r="AS112" s="417">
        <f t="shared" si="46"/>
        <v>100</v>
      </c>
    </row>
    <row r="113" spans="1:45" ht="12.75" customHeight="1" thickBot="1">
      <c r="A113" s="430"/>
      <c r="B113" s="138"/>
      <c r="C113" s="137" t="s">
        <v>132</v>
      </c>
      <c r="D113" s="126"/>
      <c r="E113" s="126"/>
      <c r="F113" s="126"/>
      <c r="G113" s="126"/>
      <c r="H113" s="126"/>
      <c r="I113" s="320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316">
        <f t="shared" si="51"/>
        <v>0</v>
      </c>
      <c r="AH113" s="315">
        <f t="shared" si="47"/>
        <v>0</v>
      </c>
      <c r="AI113" s="126"/>
      <c r="AJ113" s="126"/>
      <c r="AK113" s="178"/>
      <c r="AL113" s="171"/>
      <c r="AM113" s="161"/>
      <c r="AN113" s="115"/>
      <c r="AO113" s="115"/>
      <c r="AP113" s="115"/>
      <c r="AQ113" s="115"/>
      <c r="AR113" s="170">
        <f t="shared" si="78"/>
        <v>0</v>
      </c>
      <c r="AS113" s="417" t="e">
        <f t="shared" si="46"/>
        <v>#DIV/0!</v>
      </c>
    </row>
    <row r="114" spans="1:45" ht="15" customHeight="1" thickBot="1">
      <c r="A114" s="430" t="s">
        <v>85</v>
      </c>
      <c r="B114" s="138"/>
      <c r="C114" s="137" t="s">
        <v>378</v>
      </c>
      <c r="D114" s="126">
        <v>332733.89</v>
      </c>
      <c r="E114" s="126">
        <v>332733.89</v>
      </c>
      <c r="F114" s="126">
        <v>104577.5</v>
      </c>
      <c r="G114" s="126">
        <f>13209.88+35043.09+21247+22725+22725+22725+47350.09+11482.42+28556.87+22214.54+41121.42+44333.58</f>
        <v>332733.89</v>
      </c>
      <c r="H114" s="126"/>
      <c r="I114" s="320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316">
        <f t="shared" si="51"/>
        <v>0</v>
      </c>
      <c r="AH114" s="315">
        <f t="shared" si="47"/>
        <v>104577.5</v>
      </c>
      <c r="AI114" s="126"/>
      <c r="AJ114" s="126">
        <f>G114</f>
        <v>332733.89</v>
      </c>
      <c r="AK114" s="178">
        <f t="shared" ref="AK114:AK162" si="79">D114-AJ114</f>
        <v>0</v>
      </c>
      <c r="AL114" s="171">
        <f t="shared" ref="AL114:AL162" si="80">E114-AJ114</f>
        <v>0</v>
      </c>
      <c r="AM114" s="166">
        <v>6051.7</v>
      </c>
      <c r="AN114" s="167">
        <v>904</v>
      </c>
      <c r="AO114" s="167">
        <v>303</v>
      </c>
      <c r="AP114" s="115"/>
      <c r="AQ114" s="115"/>
      <c r="AR114" s="170">
        <f t="shared" si="78"/>
        <v>7258.7</v>
      </c>
      <c r="AS114" s="417">
        <f t="shared" si="46"/>
        <v>100</v>
      </c>
    </row>
    <row r="115" spans="1:45" ht="21" customHeight="1" thickBot="1">
      <c r="A115" s="430" t="s">
        <v>740</v>
      </c>
      <c r="B115" s="138"/>
      <c r="C115" s="137" t="s">
        <v>918</v>
      </c>
      <c r="D115" s="126">
        <v>4086.3</v>
      </c>
      <c r="E115" s="126">
        <v>4086.3</v>
      </c>
      <c r="F115" s="126">
        <v>104577.5</v>
      </c>
      <c r="G115" s="126">
        <f>4086.3</f>
        <v>4086.3</v>
      </c>
      <c r="H115" s="126"/>
      <c r="I115" s="320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316">
        <f t="shared" ref="AG115" si="81">SUM(I115:AF115)</f>
        <v>0</v>
      </c>
      <c r="AH115" s="315">
        <f t="shared" ref="AH115" si="82">F115+AG115</f>
        <v>104577.5</v>
      </c>
      <c r="AI115" s="126"/>
      <c r="AJ115" s="126">
        <f>G115</f>
        <v>4086.3</v>
      </c>
      <c r="AK115" s="178">
        <f t="shared" ref="AK115" si="83">D115-AJ115</f>
        <v>0</v>
      </c>
      <c r="AL115" s="171">
        <f t="shared" ref="AL115" si="84">E115-AJ115</f>
        <v>0</v>
      </c>
      <c r="AM115" s="166">
        <v>6051.7</v>
      </c>
      <c r="AN115" s="167">
        <v>904</v>
      </c>
      <c r="AO115" s="167">
        <v>303</v>
      </c>
      <c r="AP115" s="115"/>
      <c r="AQ115" s="115"/>
      <c r="AR115" s="170">
        <f t="shared" ref="AR115" si="85">AM115+AN115+AO115+AP115+AQ115</f>
        <v>7258.7</v>
      </c>
      <c r="AS115" s="417">
        <f t="shared" ref="AS115" si="86">G115/E115*100</f>
        <v>100</v>
      </c>
    </row>
    <row r="116" spans="1:45" ht="17.100000000000001" customHeight="1" thickBot="1">
      <c r="A116" s="430" t="s">
        <v>135</v>
      </c>
      <c r="B116" s="138"/>
      <c r="C116" s="137" t="s">
        <v>261</v>
      </c>
      <c r="D116" s="126">
        <v>99279.81</v>
      </c>
      <c r="E116" s="126">
        <v>99279.81</v>
      </c>
      <c r="F116" s="126">
        <v>27336.799999999999</v>
      </c>
      <c r="G116" s="126">
        <f>3989.38+10136.67+6908.4+6817.49+6862.95+6862.95+14299.73+4020.92+6862.95+6708.79+25809.58</f>
        <v>99279.809999999983</v>
      </c>
      <c r="H116" s="126"/>
      <c r="I116" s="320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316">
        <f t="shared" si="51"/>
        <v>0</v>
      </c>
      <c r="AH116" s="315">
        <f t="shared" si="47"/>
        <v>27336.799999999999</v>
      </c>
      <c r="AI116" s="126"/>
      <c r="AJ116" s="126">
        <f t="shared" ref="AJ116:AJ126" si="87">G116</f>
        <v>99279.809999999983</v>
      </c>
      <c r="AK116" s="178">
        <f t="shared" si="79"/>
        <v>0</v>
      </c>
      <c r="AL116" s="171">
        <f t="shared" si="80"/>
        <v>0</v>
      </c>
      <c r="AM116" s="166">
        <v>1391.1</v>
      </c>
      <c r="AN116" s="167">
        <v>340.8</v>
      </c>
      <c r="AO116" s="167">
        <v>610.4</v>
      </c>
      <c r="AP116" s="115"/>
      <c r="AQ116" s="115"/>
      <c r="AR116" s="170">
        <f t="shared" si="78"/>
        <v>2342.2999999999997</v>
      </c>
      <c r="AS116" s="417">
        <f t="shared" si="46"/>
        <v>99.999999999999986</v>
      </c>
    </row>
    <row r="117" spans="1:45" ht="15" hidden="1" customHeight="1" thickBot="1">
      <c r="A117" s="430" t="s">
        <v>87</v>
      </c>
      <c r="B117" s="138"/>
      <c r="C117" s="137" t="s">
        <v>868</v>
      </c>
      <c r="D117" s="126">
        <v>0</v>
      </c>
      <c r="E117" s="126">
        <v>0</v>
      </c>
      <c r="F117" s="126"/>
      <c r="G117" s="126">
        <v>0</v>
      </c>
      <c r="H117" s="126"/>
      <c r="I117" s="320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316">
        <f t="shared" si="51"/>
        <v>0</v>
      </c>
      <c r="AH117" s="315">
        <f t="shared" si="47"/>
        <v>0</v>
      </c>
      <c r="AI117" s="126"/>
      <c r="AJ117" s="126">
        <f t="shared" si="87"/>
        <v>0</v>
      </c>
      <c r="AK117" s="178">
        <f t="shared" si="79"/>
        <v>0</v>
      </c>
      <c r="AL117" s="171">
        <f t="shared" si="80"/>
        <v>0</v>
      </c>
      <c r="AM117" s="161"/>
      <c r="AN117" s="115"/>
      <c r="AO117" s="115"/>
      <c r="AP117" s="115"/>
      <c r="AQ117" s="115"/>
      <c r="AR117" s="170">
        <f t="shared" si="78"/>
        <v>0</v>
      </c>
      <c r="AS117" s="417" t="e">
        <f t="shared" si="46"/>
        <v>#DIV/0!</v>
      </c>
    </row>
    <row r="118" spans="1:45" ht="20.100000000000001" hidden="1" customHeight="1" thickBot="1">
      <c r="A118" s="430" t="s">
        <v>137</v>
      </c>
      <c r="B118" s="138"/>
      <c r="C118" s="137" t="s">
        <v>725</v>
      </c>
      <c r="D118" s="126"/>
      <c r="E118" s="126"/>
      <c r="F118" s="126"/>
      <c r="G118" s="126"/>
      <c r="H118" s="126"/>
      <c r="I118" s="320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316">
        <f t="shared" si="51"/>
        <v>0</v>
      </c>
      <c r="AH118" s="315">
        <f t="shared" si="47"/>
        <v>0</v>
      </c>
      <c r="AI118" s="126"/>
      <c r="AJ118" s="126">
        <f t="shared" si="87"/>
        <v>0</v>
      </c>
      <c r="AK118" s="178">
        <f t="shared" si="79"/>
        <v>0</v>
      </c>
      <c r="AL118" s="171">
        <f t="shared" si="80"/>
        <v>0</v>
      </c>
      <c r="AM118" s="161"/>
      <c r="AN118" s="115"/>
      <c r="AO118" s="115"/>
      <c r="AP118" s="115"/>
      <c r="AQ118" s="115"/>
      <c r="AR118" s="170">
        <f t="shared" si="78"/>
        <v>0</v>
      </c>
      <c r="AS118" s="417" t="e">
        <f t="shared" si="46"/>
        <v>#DIV/0!</v>
      </c>
    </row>
    <row r="119" spans="1:45" ht="17.100000000000001" hidden="1" customHeight="1" thickBot="1">
      <c r="A119" s="430" t="s">
        <v>143</v>
      </c>
      <c r="B119" s="138"/>
      <c r="C119" s="137" t="s">
        <v>614</v>
      </c>
      <c r="D119" s="126">
        <v>0</v>
      </c>
      <c r="E119" s="126">
        <v>0</v>
      </c>
      <c r="F119" s="126"/>
      <c r="G119" s="126"/>
      <c r="H119" s="126"/>
      <c r="I119" s="320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316">
        <f t="shared" si="51"/>
        <v>0</v>
      </c>
      <c r="AH119" s="315">
        <f t="shared" si="47"/>
        <v>0</v>
      </c>
      <c r="AI119" s="126"/>
      <c r="AJ119" s="126">
        <f t="shared" si="87"/>
        <v>0</v>
      </c>
      <c r="AK119" s="178">
        <f t="shared" si="79"/>
        <v>0</v>
      </c>
      <c r="AL119" s="171">
        <f t="shared" si="80"/>
        <v>0</v>
      </c>
      <c r="AM119" s="161"/>
      <c r="AN119" s="115"/>
      <c r="AO119" s="115"/>
      <c r="AP119" s="115"/>
      <c r="AQ119" s="115"/>
      <c r="AR119" s="170">
        <f t="shared" si="78"/>
        <v>0</v>
      </c>
      <c r="AS119" s="417" t="e">
        <f t="shared" si="46"/>
        <v>#DIV/0!</v>
      </c>
    </row>
    <row r="120" spans="1:45" ht="13.5" hidden="1" customHeight="1" thickBot="1">
      <c r="A120" s="430" t="s">
        <v>721</v>
      </c>
      <c r="B120" s="138"/>
      <c r="C120" s="137" t="s">
        <v>694</v>
      </c>
      <c r="D120" s="126">
        <f>D121+D122</f>
        <v>0</v>
      </c>
      <c r="E120" s="126">
        <f>E121+E122</f>
        <v>0</v>
      </c>
      <c r="F120" s="126">
        <f>F121+F122</f>
        <v>0</v>
      </c>
      <c r="G120" s="126">
        <f>G121</f>
        <v>0</v>
      </c>
      <c r="H120" s="126"/>
      <c r="I120" s="320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316">
        <f t="shared" si="51"/>
        <v>0</v>
      </c>
      <c r="AH120" s="315">
        <f t="shared" si="47"/>
        <v>0</v>
      </c>
      <c r="AI120" s="126"/>
      <c r="AJ120" s="126">
        <f t="shared" si="87"/>
        <v>0</v>
      </c>
      <c r="AK120" s="178">
        <f t="shared" si="79"/>
        <v>0</v>
      </c>
      <c r="AL120" s="171">
        <f t="shared" si="80"/>
        <v>0</v>
      </c>
      <c r="AM120" s="161"/>
      <c r="AN120" s="115"/>
      <c r="AO120" s="115"/>
      <c r="AP120" s="115"/>
      <c r="AQ120" s="115"/>
      <c r="AR120" s="170">
        <f t="shared" si="78"/>
        <v>0</v>
      </c>
      <c r="AS120" s="417" t="e">
        <f t="shared" si="46"/>
        <v>#DIV/0!</v>
      </c>
    </row>
    <row r="121" spans="1:45" ht="15.95" hidden="1" customHeight="1" thickBot="1">
      <c r="A121" s="430" t="s">
        <v>319</v>
      </c>
      <c r="B121" s="138"/>
      <c r="C121" s="137" t="s">
        <v>317</v>
      </c>
      <c r="D121" s="126">
        <v>0</v>
      </c>
      <c r="E121" s="126">
        <v>0</v>
      </c>
      <c r="F121" s="126">
        <v>0</v>
      </c>
      <c r="G121" s="126">
        <v>0</v>
      </c>
      <c r="H121" s="126"/>
      <c r="I121" s="320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316">
        <f>SUM(I121:AF121)</f>
        <v>0</v>
      </c>
      <c r="AH121" s="315">
        <f>F121+AG121</f>
        <v>0</v>
      </c>
      <c r="AI121" s="126"/>
      <c r="AJ121" s="126">
        <f>G121</f>
        <v>0</v>
      </c>
      <c r="AK121" s="178">
        <f>D121-AJ121</f>
        <v>0</v>
      </c>
      <c r="AL121" s="171">
        <f>E121-AJ121</f>
        <v>0</v>
      </c>
      <c r="AM121" s="161"/>
      <c r="AN121" s="115"/>
      <c r="AO121" s="115"/>
      <c r="AP121" s="115"/>
      <c r="AQ121" s="115"/>
      <c r="AR121" s="170">
        <f>AM121+AN121+AO121+AP121+AQ121</f>
        <v>0</v>
      </c>
      <c r="AS121" s="417" t="e">
        <f t="shared" si="46"/>
        <v>#DIV/0!</v>
      </c>
    </row>
    <row r="122" spans="1:45" ht="22.35" hidden="1" customHeight="1" thickBot="1">
      <c r="A122" s="430" t="s">
        <v>314</v>
      </c>
      <c r="B122" s="138"/>
      <c r="C122" s="137" t="s">
        <v>318</v>
      </c>
      <c r="D122" s="126">
        <v>0</v>
      </c>
      <c r="E122" s="126">
        <v>0</v>
      </c>
      <c r="F122" s="126">
        <v>0</v>
      </c>
      <c r="G122" s="126"/>
      <c r="H122" s="126"/>
      <c r="I122" s="320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316">
        <f>SUM(I122:AF122)</f>
        <v>0</v>
      </c>
      <c r="AH122" s="315">
        <f>F122+AG122</f>
        <v>0</v>
      </c>
      <c r="AI122" s="126"/>
      <c r="AJ122" s="126">
        <f>G122</f>
        <v>0</v>
      </c>
      <c r="AK122" s="178">
        <f>D122-AJ122</f>
        <v>0</v>
      </c>
      <c r="AL122" s="171">
        <f>E122-AJ122</f>
        <v>0</v>
      </c>
      <c r="AM122" s="161"/>
      <c r="AN122" s="115"/>
      <c r="AO122" s="115"/>
      <c r="AP122" s="115"/>
      <c r="AQ122" s="115"/>
      <c r="AR122" s="170">
        <f>AM122+AN122+AO122+AP122+AQ122</f>
        <v>0</v>
      </c>
      <c r="AS122" s="417" t="e">
        <f t="shared" si="46"/>
        <v>#DIV/0!</v>
      </c>
    </row>
    <row r="123" spans="1:45" ht="23.45" customHeight="1" thickBot="1">
      <c r="A123" s="477" t="s">
        <v>586</v>
      </c>
      <c r="B123" s="478"/>
      <c r="C123" s="479" t="s">
        <v>455</v>
      </c>
      <c r="D123" s="480">
        <f>D124+D129</f>
        <v>117657</v>
      </c>
      <c r="E123" s="480">
        <f>E124+E129</f>
        <v>117657</v>
      </c>
      <c r="F123" s="480">
        <f>F124+F129</f>
        <v>35599</v>
      </c>
      <c r="G123" s="480">
        <f>G124+G129</f>
        <v>117657</v>
      </c>
      <c r="H123" s="480"/>
      <c r="I123" s="481"/>
      <c r="J123" s="482"/>
      <c r="K123" s="482"/>
      <c r="L123" s="482"/>
      <c r="M123" s="482"/>
      <c r="N123" s="482"/>
      <c r="O123" s="482"/>
      <c r="P123" s="482"/>
      <c r="Q123" s="482"/>
      <c r="R123" s="482"/>
      <c r="S123" s="482"/>
      <c r="T123" s="482"/>
      <c r="U123" s="482"/>
      <c r="V123" s="482"/>
      <c r="W123" s="482"/>
      <c r="X123" s="482"/>
      <c r="Y123" s="482"/>
      <c r="Z123" s="482"/>
      <c r="AA123" s="482"/>
      <c r="AB123" s="482"/>
      <c r="AC123" s="482"/>
      <c r="AD123" s="482"/>
      <c r="AE123" s="482"/>
      <c r="AF123" s="482"/>
      <c r="AG123" s="483">
        <f t="shared" si="51"/>
        <v>0</v>
      </c>
      <c r="AH123" s="484">
        <f t="shared" si="47"/>
        <v>35599</v>
      </c>
      <c r="AI123" s="485"/>
      <c r="AJ123" s="480">
        <f t="shared" si="87"/>
        <v>117657</v>
      </c>
      <c r="AK123" s="486">
        <f t="shared" si="79"/>
        <v>0</v>
      </c>
      <c r="AL123" s="487">
        <f t="shared" si="80"/>
        <v>0</v>
      </c>
      <c r="AM123" s="160"/>
      <c r="AN123" s="116"/>
      <c r="AO123" s="116"/>
      <c r="AP123" s="116"/>
      <c r="AQ123" s="116"/>
      <c r="AR123" s="170">
        <f t="shared" si="78"/>
        <v>0</v>
      </c>
      <c r="AS123" s="417">
        <f t="shared" si="46"/>
        <v>100</v>
      </c>
    </row>
    <row r="124" spans="1:45" ht="17.100000000000001" customHeight="1" thickBot="1">
      <c r="A124" s="476" t="s">
        <v>133</v>
      </c>
      <c r="B124" s="478"/>
      <c r="C124" s="478" t="s">
        <v>379</v>
      </c>
      <c r="D124" s="485">
        <f>D125+D127</f>
        <v>9960</v>
      </c>
      <c r="E124" s="485">
        <f>E125+E127</f>
        <v>9960</v>
      </c>
      <c r="F124" s="485">
        <f t="shared" ref="F124:G124" si="88">F125+F127</f>
        <v>0</v>
      </c>
      <c r="G124" s="485">
        <f t="shared" si="88"/>
        <v>9960</v>
      </c>
      <c r="H124" s="485"/>
      <c r="I124" s="488"/>
      <c r="J124" s="482"/>
      <c r="K124" s="482"/>
      <c r="L124" s="482"/>
      <c r="M124" s="482"/>
      <c r="N124" s="482"/>
      <c r="O124" s="482"/>
      <c r="P124" s="482"/>
      <c r="Q124" s="482"/>
      <c r="R124" s="482"/>
      <c r="S124" s="482"/>
      <c r="T124" s="482"/>
      <c r="U124" s="482"/>
      <c r="V124" s="482"/>
      <c r="W124" s="482"/>
      <c r="X124" s="482"/>
      <c r="Y124" s="482"/>
      <c r="Z124" s="482"/>
      <c r="AA124" s="482"/>
      <c r="AB124" s="482"/>
      <c r="AC124" s="482"/>
      <c r="AD124" s="482"/>
      <c r="AE124" s="482"/>
      <c r="AF124" s="482"/>
      <c r="AG124" s="483">
        <f t="shared" si="51"/>
        <v>0</v>
      </c>
      <c r="AH124" s="484">
        <f t="shared" si="47"/>
        <v>0</v>
      </c>
      <c r="AI124" s="485"/>
      <c r="AJ124" s="485">
        <f t="shared" si="87"/>
        <v>9960</v>
      </c>
      <c r="AK124" s="486">
        <f t="shared" si="79"/>
        <v>0</v>
      </c>
      <c r="AL124" s="487">
        <f t="shared" si="80"/>
        <v>0</v>
      </c>
      <c r="AM124" s="160"/>
      <c r="AN124" s="116"/>
      <c r="AO124" s="116"/>
      <c r="AP124" s="116"/>
      <c r="AQ124" s="116"/>
      <c r="AR124" s="170">
        <f t="shared" si="78"/>
        <v>0</v>
      </c>
      <c r="AS124" s="417">
        <f t="shared" si="46"/>
        <v>100</v>
      </c>
    </row>
    <row r="125" spans="1:45" ht="15" hidden="1" customHeight="1" thickBot="1">
      <c r="A125" s="476" t="s">
        <v>136</v>
      </c>
      <c r="B125" s="478"/>
      <c r="C125" s="478" t="s">
        <v>380</v>
      </c>
      <c r="D125" s="485">
        <f>D126</f>
        <v>0</v>
      </c>
      <c r="E125" s="485">
        <f>E126</f>
        <v>0</v>
      </c>
      <c r="F125" s="485">
        <f>F126</f>
        <v>0</v>
      </c>
      <c r="G125" s="485">
        <f>G126</f>
        <v>0</v>
      </c>
      <c r="H125" s="485"/>
      <c r="I125" s="488"/>
      <c r="J125" s="482"/>
      <c r="K125" s="482"/>
      <c r="L125" s="482"/>
      <c r="M125" s="482"/>
      <c r="N125" s="482"/>
      <c r="O125" s="482"/>
      <c r="P125" s="482"/>
      <c r="Q125" s="482"/>
      <c r="R125" s="482"/>
      <c r="S125" s="482"/>
      <c r="T125" s="482"/>
      <c r="U125" s="482"/>
      <c r="V125" s="482"/>
      <c r="W125" s="482"/>
      <c r="X125" s="482"/>
      <c r="Y125" s="482"/>
      <c r="Z125" s="482"/>
      <c r="AA125" s="482"/>
      <c r="AB125" s="482"/>
      <c r="AC125" s="482"/>
      <c r="AD125" s="482"/>
      <c r="AE125" s="482"/>
      <c r="AF125" s="482"/>
      <c r="AG125" s="483">
        <f t="shared" si="51"/>
        <v>0</v>
      </c>
      <c r="AH125" s="484">
        <f t="shared" si="47"/>
        <v>0</v>
      </c>
      <c r="AI125" s="485"/>
      <c r="AJ125" s="485">
        <f t="shared" si="87"/>
        <v>0</v>
      </c>
      <c r="AK125" s="486">
        <f t="shared" si="79"/>
        <v>0</v>
      </c>
      <c r="AL125" s="487">
        <f t="shared" si="80"/>
        <v>0</v>
      </c>
      <c r="AM125" s="160"/>
      <c r="AN125" s="116"/>
      <c r="AO125" s="116"/>
      <c r="AP125" s="116"/>
      <c r="AQ125" s="116"/>
      <c r="AR125" s="170">
        <f t="shared" si="78"/>
        <v>0</v>
      </c>
      <c r="AS125" s="417" t="e">
        <f t="shared" si="46"/>
        <v>#DIV/0!</v>
      </c>
    </row>
    <row r="126" spans="1:45" ht="14.1" hidden="1" customHeight="1" thickBot="1">
      <c r="A126" s="476" t="s">
        <v>1004</v>
      </c>
      <c r="B126" s="478"/>
      <c r="C126" s="478" t="s">
        <v>1009</v>
      </c>
      <c r="D126" s="485">
        <f>D141</f>
        <v>0</v>
      </c>
      <c r="E126" s="485">
        <f>E141</f>
        <v>0</v>
      </c>
      <c r="F126" s="485">
        <f t="shared" ref="F126:G126" si="89">F141</f>
        <v>0</v>
      </c>
      <c r="G126" s="485">
        <f t="shared" si="89"/>
        <v>0</v>
      </c>
      <c r="H126" s="485"/>
      <c r="I126" s="488"/>
      <c r="J126" s="482"/>
      <c r="K126" s="482"/>
      <c r="L126" s="482"/>
      <c r="M126" s="482"/>
      <c r="N126" s="482"/>
      <c r="O126" s="482"/>
      <c r="P126" s="482"/>
      <c r="Q126" s="482"/>
      <c r="R126" s="482"/>
      <c r="S126" s="482"/>
      <c r="T126" s="482"/>
      <c r="U126" s="482"/>
      <c r="V126" s="482"/>
      <c r="W126" s="482"/>
      <c r="X126" s="482"/>
      <c r="Y126" s="482"/>
      <c r="Z126" s="482"/>
      <c r="AA126" s="482"/>
      <c r="AB126" s="482"/>
      <c r="AC126" s="482"/>
      <c r="AD126" s="482"/>
      <c r="AE126" s="482"/>
      <c r="AF126" s="482"/>
      <c r="AG126" s="483">
        <f t="shared" si="51"/>
        <v>0</v>
      </c>
      <c r="AH126" s="484">
        <f t="shared" si="47"/>
        <v>0</v>
      </c>
      <c r="AI126" s="485"/>
      <c r="AJ126" s="485">
        <f t="shared" si="87"/>
        <v>0</v>
      </c>
      <c r="AK126" s="486">
        <f t="shared" si="79"/>
        <v>0</v>
      </c>
      <c r="AL126" s="487">
        <f t="shared" si="80"/>
        <v>0</v>
      </c>
      <c r="AM126" s="160"/>
      <c r="AN126" s="116"/>
      <c r="AO126" s="116"/>
      <c r="AP126" s="116"/>
      <c r="AQ126" s="116"/>
      <c r="AR126" s="170">
        <f t="shared" si="78"/>
        <v>0</v>
      </c>
      <c r="AS126" s="417" t="e">
        <f t="shared" si="46"/>
        <v>#DIV/0!</v>
      </c>
    </row>
    <row r="127" spans="1:45" ht="14.1" customHeight="1" thickBot="1">
      <c r="A127" s="476" t="s">
        <v>88</v>
      </c>
      <c r="B127" s="478"/>
      <c r="C127" s="478" t="s">
        <v>945</v>
      </c>
      <c r="D127" s="485">
        <f>D128</f>
        <v>9960</v>
      </c>
      <c r="E127" s="485">
        <f>E128</f>
        <v>9960</v>
      </c>
      <c r="F127" s="485">
        <f t="shared" ref="F127:G127" si="90">F128</f>
        <v>0</v>
      </c>
      <c r="G127" s="485">
        <f t="shared" si="90"/>
        <v>9960</v>
      </c>
      <c r="H127" s="485"/>
      <c r="I127" s="488"/>
      <c r="J127" s="482"/>
      <c r="K127" s="482"/>
      <c r="L127" s="482"/>
      <c r="M127" s="482"/>
      <c r="N127" s="482"/>
      <c r="O127" s="482"/>
      <c r="P127" s="482"/>
      <c r="Q127" s="482"/>
      <c r="R127" s="482"/>
      <c r="S127" s="482"/>
      <c r="T127" s="482"/>
      <c r="U127" s="482"/>
      <c r="V127" s="482"/>
      <c r="W127" s="482"/>
      <c r="X127" s="482"/>
      <c r="Y127" s="482"/>
      <c r="Z127" s="482"/>
      <c r="AA127" s="482"/>
      <c r="AB127" s="482"/>
      <c r="AC127" s="482"/>
      <c r="AD127" s="482"/>
      <c r="AE127" s="482"/>
      <c r="AF127" s="482"/>
      <c r="AG127" s="483"/>
      <c r="AH127" s="484"/>
      <c r="AI127" s="485"/>
      <c r="AJ127" s="485"/>
      <c r="AK127" s="486"/>
      <c r="AL127" s="487"/>
      <c r="AM127" s="160"/>
      <c r="AN127" s="116"/>
      <c r="AO127" s="116"/>
      <c r="AP127" s="116"/>
      <c r="AQ127" s="116"/>
      <c r="AR127" s="170"/>
    </row>
    <row r="128" spans="1:45" ht="14.1" customHeight="1" thickBot="1">
      <c r="A128" s="476" t="s">
        <v>858</v>
      </c>
      <c r="B128" s="478"/>
      <c r="C128" s="478" t="s">
        <v>944</v>
      </c>
      <c r="D128" s="485">
        <f>D148</f>
        <v>9960</v>
      </c>
      <c r="E128" s="485">
        <f>E148</f>
        <v>9960</v>
      </c>
      <c r="F128" s="485">
        <f t="shared" ref="F128:G128" si="91">F148</f>
        <v>0</v>
      </c>
      <c r="G128" s="485">
        <f t="shared" si="91"/>
        <v>9960</v>
      </c>
      <c r="H128" s="485"/>
      <c r="I128" s="488"/>
      <c r="J128" s="482"/>
      <c r="K128" s="482"/>
      <c r="L128" s="482"/>
      <c r="M128" s="482"/>
      <c r="N128" s="482"/>
      <c r="O128" s="482"/>
      <c r="P128" s="482"/>
      <c r="Q128" s="482"/>
      <c r="R128" s="482"/>
      <c r="S128" s="482"/>
      <c r="T128" s="482"/>
      <c r="U128" s="482"/>
      <c r="V128" s="482"/>
      <c r="W128" s="482"/>
      <c r="X128" s="482"/>
      <c r="Y128" s="482"/>
      <c r="Z128" s="482"/>
      <c r="AA128" s="482"/>
      <c r="AB128" s="482"/>
      <c r="AC128" s="482"/>
      <c r="AD128" s="482"/>
      <c r="AE128" s="482"/>
      <c r="AF128" s="482"/>
      <c r="AG128" s="483">
        <f t="shared" ref="AG128" si="92">SUM(I128:AF128)</f>
        <v>0</v>
      </c>
      <c r="AH128" s="484">
        <f t="shared" ref="AH128" si="93">F128+AG128</f>
        <v>0</v>
      </c>
      <c r="AI128" s="485"/>
      <c r="AJ128" s="485">
        <f t="shared" ref="AJ128" si="94">G128</f>
        <v>9960</v>
      </c>
      <c r="AK128" s="486">
        <f t="shared" ref="AK128" si="95">D128-AJ128</f>
        <v>0</v>
      </c>
      <c r="AL128" s="487">
        <f t="shared" ref="AL128" si="96">E128-AJ128</f>
        <v>0</v>
      </c>
      <c r="AM128" s="160"/>
      <c r="AN128" s="116"/>
      <c r="AO128" s="116"/>
      <c r="AP128" s="116"/>
      <c r="AQ128" s="116"/>
      <c r="AR128" s="170">
        <f t="shared" ref="AR128" si="97">AM128+AN128+AO128+AP128+AQ128</f>
        <v>0</v>
      </c>
      <c r="AS128" s="417">
        <f t="shared" ref="AS128" si="98">G128/E128*100</f>
        <v>100</v>
      </c>
    </row>
    <row r="129" spans="1:45" ht="15" customHeight="1" thickBot="1">
      <c r="A129" s="476" t="s">
        <v>141</v>
      </c>
      <c r="B129" s="478"/>
      <c r="C129" s="478" t="s">
        <v>381</v>
      </c>
      <c r="D129" s="485">
        <f>D131+D130</f>
        <v>107697</v>
      </c>
      <c r="E129" s="485">
        <f>E131+E130</f>
        <v>107697</v>
      </c>
      <c r="F129" s="485">
        <f t="shared" ref="F129" si="99">F131+F130</f>
        <v>35599</v>
      </c>
      <c r="G129" s="485">
        <f>G131+G130</f>
        <v>107697</v>
      </c>
      <c r="H129" s="485"/>
      <c r="I129" s="488"/>
      <c r="J129" s="482"/>
      <c r="K129" s="482"/>
      <c r="L129" s="482"/>
      <c r="M129" s="482"/>
      <c r="N129" s="482"/>
      <c r="O129" s="482"/>
      <c r="P129" s="482"/>
      <c r="Q129" s="482"/>
      <c r="R129" s="482"/>
      <c r="S129" s="482"/>
      <c r="T129" s="482"/>
      <c r="U129" s="482"/>
      <c r="V129" s="482"/>
      <c r="W129" s="482"/>
      <c r="X129" s="482"/>
      <c r="Y129" s="482"/>
      <c r="Z129" s="482"/>
      <c r="AA129" s="482"/>
      <c r="AB129" s="482"/>
      <c r="AC129" s="482"/>
      <c r="AD129" s="482"/>
      <c r="AE129" s="482"/>
      <c r="AF129" s="482"/>
      <c r="AG129" s="483">
        <f t="shared" si="51"/>
        <v>0</v>
      </c>
      <c r="AH129" s="484">
        <f t="shared" si="47"/>
        <v>35599</v>
      </c>
      <c r="AI129" s="485"/>
      <c r="AJ129" s="485">
        <f t="shared" ref="AJ129:AJ154" si="100">G129</f>
        <v>107697</v>
      </c>
      <c r="AK129" s="486">
        <f t="shared" si="79"/>
        <v>0</v>
      </c>
      <c r="AL129" s="487">
        <f t="shared" si="80"/>
        <v>0</v>
      </c>
      <c r="AM129" s="160"/>
      <c r="AN129" s="116"/>
      <c r="AO129" s="116"/>
      <c r="AP129" s="116"/>
      <c r="AQ129" s="116"/>
      <c r="AR129" s="170">
        <f t="shared" si="78"/>
        <v>0</v>
      </c>
      <c r="AS129" s="417">
        <f t="shared" si="46"/>
        <v>100</v>
      </c>
    </row>
    <row r="130" spans="1:45" ht="0.6" hidden="1" customHeight="1" thickBot="1">
      <c r="A130" s="476" t="s">
        <v>186</v>
      </c>
      <c r="B130" s="478"/>
      <c r="C130" s="478" t="s">
        <v>869</v>
      </c>
      <c r="D130" s="485">
        <f>D150+D137</f>
        <v>0</v>
      </c>
      <c r="E130" s="485">
        <f>E150+E137</f>
        <v>0</v>
      </c>
      <c r="F130" s="485">
        <f t="shared" ref="F130:G130" si="101">F150+F137</f>
        <v>0</v>
      </c>
      <c r="G130" s="485">
        <f t="shared" si="101"/>
        <v>0</v>
      </c>
      <c r="H130" s="485"/>
      <c r="I130" s="488"/>
      <c r="J130" s="482"/>
      <c r="K130" s="482"/>
      <c r="L130" s="482"/>
      <c r="M130" s="482"/>
      <c r="N130" s="482"/>
      <c r="O130" s="482"/>
      <c r="P130" s="482"/>
      <c r="Q130" s="482"/>
      <c r="R130" s="482"/>
      <c r="S130" s="482"/>
      <c r="T130" s="482"/>
      <c r="U130" s="482"/>
      <c r="V130" s="482"/>
      <c r="W130" s="482"/>
      <c r="X130" s="482"/>
      <c r="Y130" s="482"/>
      <c r="Z130" s="482"/>
      <c r="AA130" s="482"/>
      <c r="AB130" s="482"/>
      <c r="AC130" s="482"/>
      <c r="AD130" s="482"/>
      <c r="AE130" s="482"/>
      <c r="AF130" s="482"/>
      <c r="AG130" s="483">
        <f t="shared" ref="AG130" si="102">SUM(I130:AF130)</f>
        <v>0</v>
      </c>
      <c r="AH130" s="484">
        <f t="shared" ref="AH130" si="103">F130+AG130</f>
        <v>0</v>
      </c>
      <c r="AI130" s="485"/>
      <c r="AJ130" s="485">
        <f t="shared" ref="AJ130" si="104">G130</f>
        <v>0</v>
      </c>
      <c r="AK130" s="486">
        <f t="shared" ref="AK130" si="105">D130-AJ130</f>
        <v>0</v>
      </c>
      <c r="AL130" s="487">
        <f t="shared" ref="AL130" si="106">E130-AJ130</f>
        <v>0</v>
      </c>
      <c r="AM130" s="160"/>
      <c r="AN130" s="116"/>
      <c r="AO130" s="116"/>
      <c r="AP130" s="116"/>
      <c r="AQ130" s="116"/>
      <c r="AR130" s="170">
        <f t="shared" ref="AR130" si="107">AM130+AN130+AO130+AP130+AQ130</f>
        <v>0</v>
      </c>
      <c r="AS130" s="417" t="e">
        <f t="shared" ref="AS130" si="108">G130/E130*100</f>
        <v>#DIV/0!</v>
      </c>
    </row>
    <row r="131" spans="1:45" ht="15.6" customHeight="1" thickBot="1">
      <c r="A131" s="476" t="s">
        <v>721</v>
      </c>
      <c r="B131" s="478"/>
      <c r="C131" s="478" t="s">
        <v>387</v>
      </c>
      <c r="D131" s="485">
        <f>D151+D138</f>
        <v>107697</v>
      </c>
      <c r="E131" s="485">
        <f>E151+E138</f>
        <v>107697</v>
      </c>
      <c r="F131" s="485">
        <f t="shared" ref="F131:G131" si="109">F151+F138</f>
        <v>35599</v>
      </c>
      <c r="G131" s="485">
        <f t="shared" si="109"/>
        <v>107697</v>
      </c>
      <c r="H131" s="485"/>
      <c r="I131" s="488"/>
      <c r="J131" s="482"/>
      <c r="K131" s="482"/>
      <c r="L131" s="482"/>
      <c r="M131" s="482"/>
      <c r="N131" s="482"/>
      <c r="O131" s="482"/>
      <c r="P131" s="482"/>
      <c r="Q131" s="482"/>
      <c r="R131" s="482"/>
      <c r="S131" s="482"/>
      <c r="T131" s="482"/>
      <c r="U131" s="482"/>
      <c r="V131" s="482"/>
      <c r="W131" s="482"/>
      <c r="X131" s="482"/>
      <c r="Y131" s="482"/>
      <c r="Z131" s="482"/>
      <c r="AA131" s="482"/>
      <c r="AB131" s="482"/>
      <c r="AC131" s="482"/>
      <c r="AD131" s="482"/>
      <c r="AE131" s="482"/>
      <c r="AF131" s="482"/>
      <c r="AG131" s="483">
        <f t="shared" si="51"/>
        <v>0</v>
      </c>
      <c r="AH131" s="484">
        <f t="shared" si="47"/>
        <v>35599</v>
      </c>
      <c r="AI131" s="485"/>
      <c r="AJ131" s="485">
        <f t="shared" si="100"/>
        <v>107697</v>
      </c>
      <c r="AK131" s="486">
        <f t="shared" si="79"/>
        <v>0</v>
      </c>
      <c r="AL131" s="487">
        <f t="shared" si="80"/>
        <v>0</v>
      </c>
      <c r="AM131" s="160"/>
      <c r="AN131" s="116"/>
      <c r="AO131" s="116"/>
      <c r="AP131" s="116"/>
      <c r="AQ131" s="116"/>
      <c r="AR131" s="170">
        <f t="shared" si="78"/>
        <v>0</v>
      </c>
      <c r="AS131" s="417">
        <f t="shared" si="46"/>
        <v>100</v>
      </c>
    </row>
    <row r="132" spans="1:45" ht="12.6" customHeight="1" thickBot="1">
      <c r="A132" s="427" t="s">
        <v>890</v>
      </c>
      <c r="B132" s="221"/>
      <c r="C132" s="214" t="s">
        <v>456</v>
      </c>
      <c r="D132" s="216">
        <f>D133+D136</f>
        <v>0</v>
      </c>
      <c r="E132" s="216">
        <f>E133+E136</f>
        <v>0</v>
      </c>
      <c r="F132" s="216">
        <f t="shared" ref="F132:G132" si="110">F133+F136</f>
        <v>0</v>
      </c>
      <c r="G132" s="216">
        <f t="shared" si="110"/>
        <v>0</v>
      </c>
      <c r="H132" s="216"/>
      <c r="I132" s="32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316">
        <f t="shared" si="51"/>
        <v>0</v>
      </c>
      <c r="AH132" s="315">
        <f t="shared" si="47"/>
        <v>0</v>
      </c>
      <c r="AI132" s="217"/>
      <c r="AJ132" s="239">
        <f t="shared" si="100"/>
        <v>0</v>
      </c>
      <c r="AK132" s="219">
        <f t="shared" si="79"/>
        <v>0</v>
      </c>
      <c r="AL132" s="220">
        <f t="shared" si="80"/>
        <v>0</v>
      </c>
      <c r="AM132" s="161"/>
      <c r="AN132" s="115"/>
      <c r="AO132" s="115"/>
      <c r="AP132" s="115"/>
      <c r="AQ132" s="115"/>
      <c r="AR132" s="170">
        <f t="shared" si="78"/>
        <v>0</v>
      </c>
      <c r="AS132" s="417" t="e">
        <f t="shared" si="46"/>
        <v>#DIV/0!</v>
      </c>
    </row>
    <row r="133" spans="1:45" ht="16.5" hidden="1" customHeight="1" thickBot="1">
      <c r="A133" s="428" t="s">
        <v>133</v>
      </c>
      <c r="B133" s="221"/>
      <c r="C133" s="221" t="s">
        <v>388</v>
      </c>
      <c r="D133" s="217">
        <f t="shared" ref="D133:E134" si="111">D134</f>
        <v>0</v>
      </c>
      <c r="E133" s="217">
        <f t="shared" si="111"/>
        <v>0</v>
      </c>
      <c r="F133" s="217">
        <f t="shared" ref="F133:G133" si="112">F134</f>
        <v>0</v>
      </c>
      <c r="G133" s="217">
        <f t="shared" si="112"/>
        <v>0</v>
      </c>
      <c r="H133" s="217"/>
      <c r="I133" s="320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316">
        <f t="shared" si="51"/>
        <v>0</v>
      </c>
      <c r="AH133" s="315">
        <f t="shared" si="47"/>
        <v>0</v>
      </c>
      <c r="AI133" s="217"/>
      <c r="AJ133" s="217">
        <f t="shared" si="100"/>
        <v>0</v>
      </c>
      <c r="AK133" s="219">
        <f t="shared" si="79"/>
        <v>0</v>
      </c>
      <c r="AL133" s="220">
        <f t="shared" si="80"/>
        <v>0</v>
      </c>
      <c r="AM133" s="161"/>
      <c r="AN133" s="115"/>
      <c r="AO133" s="115"/>
      <c r="AP133" s="115"/>
      <c r="AQ133" s="115"/>
      <c r="AR133" s="170">
        <f t="shared" si="78"/>
        <v>0</v>
      </c>
      <c r="AS133" s="417" t="e">
        <f t="shared" si="46"/>
        <v>#DIV/0!</v>
      </c>
    </row>
    <row r="134" spans="1:45" ht="15.6" hidden="1" customHeight="1" thickBot="1">
      <c r="A134" s="428" t="s">
        <v>136</v>
      </c>
      <c r="B134" s="221"/>
      <c r="C134" s="221" t="s">
        <v>389</v>
      </c>
      <c r="D134" s="217">
        <f t="shared" si="111"/>
        <v>0</v>
      </c>
      <c r="E134" s="217">
        <f t="shared" si="111"/>
        <v>0</v>
      </c>
      <c r="F134" s="217">
        <f t="shared" ref="F134:G134" si="113">F135</f>
        <v>0</v>
      </c>
      <c r="G134" s="217">
        <f t="shared" si="113"/>
        <v>0</v>
      </c>
      <c r="H134" s="217"/>
      <c r="I134" s="320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316">
        <f t="shared" si="51"/>
        <v>0</v>
      </c>
      <c r="AH134" s="315">
        <f t="shared" si="47"/>
        <v>0</v>
      </c>
      <c r="AI134" s="217"/>
      <c r="AJ134" s="217">
        <f t="shared" si="100"/>
        <v>0</v>
      </c>
      <c r="AK134" s="219">
        <f t="shared" si="79"/>
        <v>0</v>
      </c>
      <c r="AL134" s="220">
        <f t="shared" si="80"/>
        <v>0</v>
      </c>
      <c r="AM134" s="161"/>
      <c r="AN134" s="115"/>
      <c r="AO134" s="115"/>
      <c r="AP134" s="115"/>
      <c r="AQ134" s="115"/>
      <c r="AR134" s="170">
        <f t="shared" si="78"/>
        <v>0</v>
      </c>
      <c r="AS134" s="417" t="e">
        <f t="shared" si="46"/>
        <v>#DIV/0!</v>
      </c>
    </row>
    <row r="135" spans="1:45" ht="15" hidden="1" customHeight="1" thickBot="1">
      <c r="A135" s="428" t="s">
        <v>1004</v>
      </c>
      <c r="B135" s="221"/>
      <c r="C135" s="221" t="s">
        <v>1005</v>
      </c>
      <c r="D135" s="217">
        <f>D141</f>
        <v>0</v>
      </c>
      <c r="E135" s="217">
        <f>E141</f>
        <v>0</v>
      </c>
      <c r="F135" s="217">
        <f t="shared" ref="F135:G135" si="114">F141</f>
        <v>0</v>
      </c>
      <c r="G135" s="217">
        <f t="shared" si="114"/>
        <v>0</v>
      </c>
      <c r="H135" s="217"/>
      <c r="I135" s="320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316">
        <f t="shared" si="51"/>
        <v>0</v>
      </c>
      <c r="AH135" s="315">
        <f t="shared" si="47"/>
        <v>0</v>
      </c>
      <c r="AI135" s="217"/>
      <c r="AJ135" s="217">
        <f t="shared" si="100"/>
        <v>0</v>
      </c>
      <c r="AK135" s="219">
        <f t="shared" si="79"/>
        <v>0</v>
      </c>
      <c r="AL135" s="220">
        <f t="shared" si="80"/>
        <v>0</v>
      </c>
      <c r="AM135" s="161"/>
      <c r="AN135" s="115"/>
      <c r="AO135" s="115"/>
      <c r="AP135" s="115"/>
      <c r="AQ135" s="115"/>
      <c r="AR135" s="170">
        <f t="shared" si="78"/>
        <v>0</v>
      </c>
      <c r="AS135" s="417" t="e">
        <f t="shared" si="46"/>
        <v>#DIV/0!</v>
      </c>
    </row>
    <row r="136" spans="1:45" ht="15" hidden="1" customHeight="1" thickBot="1">
      <c r="A136" s="428" t="s">
        <v>141</v>
      </c>
      <c r="B136" s="221"/>
      <c r="C136" s="221" t="s">
        <v>1006</v>
      </c>
      <c r="D136" s="217">
        <f>D137+D138</f>
        <v>0</v>
      </c>
      <c r="E136" s="217">
        <f>E137+E138</f>
        <v>0</v>
      </c>
      <c r="F136" s="217">
        <f t="shared" ref="F136:G136" si="115">F137+F138</f>
        <v>0</v>
      </c>
      <c r="G136" s="217">
        <f t="shared" si="115"/>
        <v>0</v>
      </c>
      <c r="H136" s="217"/>
      <c r="I136" s="320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316"/>
      <c r="AH136" s="315"/>
      <c r="AI136" s="217"/>
      <c r="AJ136" s="217">
        <f t="shared" si="100"/>
        <v>0</v>
      </c>
      <c r="AK136" s="219">
        <f t="shared" si="79"/>
        <v>0</v>
      </c>
      <c r="AL136" s="220">
        <f t="shared" si="80"/>
        <v>0</v>
      </c>
      <c r="AM136" s="161"/>
      <c r="AN136" s="115"/>
      <c r="AO136" s="115"/>
      <c r="AP136" s="115"/>
      <c r="AQ136" s="115"/>
      <c r="AR136" s="170"/>
    </row>
    <row r="137" spans="1:45" ht="15" hidden="1" customHeight="1" thickBot="1">
      <c r="A137" s="428" t="s">
        <v>186</v>
      </c>
      <c r="B137" s="221"/>
      <c r="C137" s="221" t="s">
        <v>1007</v>
      </c>
      <c r="D137" s="217">
        <f>D142</f>
        <v>0</v>
      </c>
      <c r="E137" s="217">
        <f>E142</f>
        <v>0</v>
      </c>
      <c r="F137" s="217">
        <f t="shared" ref="F137:G137" si="116">F142</f>
        <v>0</v>
      </c>
      <c r="G137" s="217">
        <f t="shared" si="116"/>
        <v>0</v>
      </c>
      <c r="H137" s="217"/>
      <c r="I137" s="320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316"/>
      <c r="AH137" s="315"/>
      <c r="AI137" s="217"/>
      <c r="AJ137" s="217">
        <f t="shared" si="100"/>
        <v>0</v>
      </c>
      <c r="AK137" s="219">
        <f t="shared" si="79"/>
        <v>0</v>
      </c>
      <c r="AL137" s="220">
        <f t="shared" si="80"/>
        <v>0</v>
      </c>
      <c r="AM137" s="161"/>
      <c r="AN137" s="115"/>
      <c r="AO137" s="115"/>
      <c r="AP137" s="115"/>
      <c r="AQ137" s="115"/>
      <c r="AR137" s="170"/>
    </row>
    <row r="138" spans="1:45" ht="15" hidden="1" customHeight="1" thickBot="1">
      <c r="A138" s="428" t="s">
        <v>721</v>
      </c>
      <c r="B138" s="221"/>
      <c r="C138" s="221" t="s">
        <v>1008</v>
      </c>
      <c r="D138" s="217">
        <f>D144+D143</f>
        <v>0</v>
      </c>
      <c r="E138" s="217">
        <f>E144+E143</f>
        <v>0</v>
      </c>
      <c r="F138" s="217">
        <f t="shared" ref="F138:G138" si="117">F144+F143</f>
        <v>0</v>
      </c>
      <c r="G138" s="217">
        <f t="shared" si="117"/>
        <v>0</v>
      </c>
      <c r="H138" s="217"/>
      <c r="I138" s="320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316"/>
      <c r="AH138" s="315"/>
      <c r="AI138" s="217"/>
      <c r="AJ138" s="217">
        <f t="shared" si="100"/>
        <v>0</v>
      </c>
      <c r="AK138" s="219">
        <f t="shared" si="79"/>
        <v>0</v>
      </c>
      <c r="AL138" s="220">
        <f t="shared" si="80"/>
        <v>0</v>
      </c>
      <c r="AM138" s="161"/>
      <c r="AN138" s="115"/>
      <c r="AO138" s="115"/>
      <c r="AP138" s="115"/>
      <c r="AQ138" s="115"/>
      <c r="AR138" s="170"/>
    </row>
    <row r="139" spans="1:45" ht="16.5" customHeight="1" thickBot="1">
      <c r="A139" s="398" t="s">
        <v>751</v>
      </c>
      <c r="B139" s="143"/>
      <c r="C139" s="143" t="s">
        <v>457</v>
      </c>
      <c r="D139" s="110">
        <f>SUM(D141:D144)</f>
        <v>0</v>
      </c>
      <c r="E139" s="110">
        <f>SUM(E141:E144)</f>
        <v>0</v>
      </c>
      <c r="F139" s="110">
        <f t="shared" ref="F139:G139" si="118">SUM(F141:F144)</f>
        <v>0</v>
      </c>
      <c r="G139" s="110">
        <f t="shared" si="118"/>
        <v>0</v>
      </c>
      <c r="H139" s="110"/>
      <c r="I139" s="32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  <c r="AF139" s="191"/>
      <c r="AG139" s="316">
        <f>SUM(I139:AF139)</f>
        <v>0</v>
      </c>
      <c r="AH139" s="315">
        <f>F139+AG139</f>
        <v>0</v>
      </c>
      <c r="AI139" s="120"/>
      <c r="AJ139" s="110">
        <f>G139</f>
        <v>0</v>
      </c>
      <c r="AK139" s="113">
        <f>D139-AJ139</f>
        <v>0</v>
      </c>
      <c r="AL139" s="172">
        <f>E139-AJ139</f>
        <v>0</v>
      </c>
      <c r="AM139" s="133"/>
      <c r="AN139" s="110"/>
      <c r="AO139" s="110"/>
      <c r="AP139" s="110"/>
      <c r="AQ139" s="110"/>
      <c r="AR139" s="170">
        <f>AM139+AN139+AO139+AP139+AQ139</f>
        <v>0</v>
      </c>
      <c r="AS139" s="417" t="e">
        <f>G139/E139*100</f>
        <v>#DIV/0!</v>
      </c>
    </row>
    <row r="140" spans="1:45" ht="12" hidden="1" customHeight="1" thickBot="1">
      <c r="A140" s="425"/>
      <c r="B140" s="140"/>
      <c r="C140" s="140" t="s">
        <v>778</v>
      </c>
      <c r="D140" s="120"/>
      <c r="E140" s="120"/>
      <c r="F140" s="120"/>
      <c r="G140" s="120"/>
      <c r="H140" s="120"/>
      <c r="I140" s="320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  <c r="AB140" s="191"/>
      <c r="AC140" s="191"/>
      <c r="AD140" s="191"/>
      <c r="AE140" s="191"/>
      <c r="AF140" s="191"/>
      <c r="AG140" s="316">
        <f>SUM(I140:AF140)</f>
        <v>0</v>
      </c>
      <c r="AH140" s="315">
        <f>F140+AG140</f>
        <v>0</v>
      </c>
      <c r="AI140" s="120"/>
      <c r="AJ140" s="460">
        <f t="shared" ref="AJ140:AJ144" si="119">G140</f>
        <v>0</v>
      </c>
      <c r="AK140" s="113">
        <f t="shared" ref="AK140:AK144" si="120">D140-AJ140</f>
        <v>0</v>
      </c>
      <c r="AL140" s="172">
        <f t="shared" ref="AL140:AL144" si="121">E140-AJ140</f>
        <v>0</v>
      </c>
      <c r="AM140" s="133"/>
      <c r="AN140" s="110"/>
      <c r="AO140" s="110"/>
      <c r="AP140" s="110"/>
      <c r="AQ140" s="110"/>
      <c r="AR140" s="170">
        <f>AM140+AN140+AO140+AP140+AQ140</f>
        <v>0</v>
      </c>
      <c r="AS140" s="417" t="e">
        <f>G140/E140*100</f>
        <v>#DIV/0!</v>
      </c>
    </row>
    <row r="141" spans="1:45" ht="0.6" hidden="1" customHeight="1" thickBot="1">
      <c r="A141" s="426" t="s">
        <v>137</v>
      </c>
      <c r="B141" s="140"/>
      <c r="C141" s="140" t="s">
        <v>1001</v>
      </c>
      <c r="D141" s="120">
        <v>0</v>
      </c>
      <c r="E141" s="120">
        <v>0</v>
      </c>
      <c r="F141" s="120"/>
      <c r="G141" s="120"/>
      <c r="H141" s="120"/>
      <c r="I141" s="320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  <c r="AG141" s="316"/>
      <c r="AH141" s="315"/>
      <c r="AI141" s="120"/>
      <c r="AJ141" s="460">
        <f t="shared" si="119"/>
        <v>0</v>
      </c>
      <c r="AK141" s="113">
        <f t="shared" si="120"/>
        <v>0</v>
      </c>
      <c r="AL141" s="172">
        <f t="shared" si="121"/>
        <v>0</v>
      </c>
      <c r="AM141" s="133"/>
      <c r="AN141" s="110"/>
      <c r="AO141" s="110"/>
      <c r="AP141" s="110"/>
      <c r="AQ141" s="110"/>
      <c r="AR141" s="170"/>
    </row>
    <row r="142" spans="1:45" ht="18" hidden="1" customHeight="1" thickBot="1">
      <c r="A142" s="425" t="s">
        <v>143</v>
      </c>
      <c r="B142" s="140"/>
      <c r="C142" s="140" t="s">
        <v>1002</v>
      </c>
      <c r="D142" s="120"/>
      <c r="E142" s="120"/>
      <c r="F142" s="120"/>
      <c r="G142" s="120"/>
      <c r="H142" s="120"/>
      <c r="I142" s="320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91"/>
      <c r="AE142" s="191"/>
      <c r="AF142" s="191"/>
      <c r="AG142" s="316"/>
      <c r="AH142" s="315"/>
      <c r="AI142" s="120"/>
      <c r="AJ142" s="460">
        <f t="shared" si="119"/>
        <v>0</v>
      </c>
      <c r="AK142" s="113">
        <f t="shared" si="120"/>
        <v>0</v>
      </c>
      <c r="AL142" s="172">
        <f t="shared" si="121"/>
        <v>0</v>
      </c>
      <c r="AM142" s="133"/>
      <c r="AN142" s="110"/>
      <c r="AO142" s="110"/>
      <c r="AP142" s="110"/>
      <c r="AQ142" s="110"/>
      <c r="AR142" s="170"/>
    </row>
    <row r="143" spans="1:45" ht="15" hidden="1" customHeight="1" thickBot="1">
      <c r="A143" s="425" t="s">
        <v>319</v>
      </c>
      <c r="B143" s="140"/>
      <c r="C143" s="140" t="s">
        <v>1016</v>
      </c>
      <c r="D143" s="120"/>
      <c r="E143" s="120"/>
      <c r="F143" s="120"/>
      <c r="G143" s="120"/>
      <c r="H143" s="120"/>
      <c r="I143" s="320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316"/>
      <c r="AH143" s="315"/>
      <c r="AI143" s="120"/>
      <c r="AJ143" s="460">
        <f t="shared" si="119"/>
        <v>0</v>
      </c>
      <c r="AK143" s="113">
        <f t="shared" si="120"/>
        <v>0</v>
      </c>
      <c r="AL143" s="172">
        <f t="shared" si="121"/>
        <v>0</v>
      </c>
      <c r="AM143" s="133"/>
      <c r="AN143" s="110"/>
      <c r="AO143" s="110"/>
      <c r="AP143" s="110"/>
      <c r="AQ143" s="110"/>
      <c r="AR143" s="170"/>
    </row>
    <row r="144" spans="1:45" ht="19.5" hidden="1" customHeight="1" thickBot="1">
      <c r="A144" s="425" t="s">
        <v>314</v>
      </c>
      <c r="B144" s="140"/>
      <c r="C144" s="140" t="s">
        <v>1003</v>
      </c>
      <c r="D144" s="120">
        <v>0</v>
      </c>
      <c r="E144" s="120">
        <v>0</v>
      </c>
      <c r="F144" s="120">
        <v>0</v>
      </c>
      <c r="G144" s="120"/>
      <c r="H144" s="120"/>
      <c r="I144" s="320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316">
        <f>SUM(I144:AF144)</f>
        <v>0</v>
      </c>
      <c r="AH144" s="315">
        <f>F144+AG144</f>
        <v>0</v>
      </c>
      <c r="AI144" s="120"/>
      <c r="AJ144" s="460">
        <f t="shared" si="119"/>
        <v>0</v>
      </c>
      <c r="AK144" s="113">
        <f t="shared" si="120"/>
        <v>0</v>
      </c>
      <c r="AL144" s="172">
        <f t="shared" si="121"/>
        <v>0</v>
      </c>
      <c r="AM144" s="133"/>
      <c r="AN144" s="110"/>
      <c r="AO144" s="110"/>
      <c r="AP144" s="110"/>
      <c r="AQ144" s="110"/>
      <c r="AR144" s="170">
        <f>AM144+AN144+AO144+AP144+AQ144</f>
        <v>0</v>
      </c>
      <c r="AS144" s="417" t="e">
        <f>G144/E144*100</f>
        <v>#DIV/0!</v>
      </c>
    </row>
    <row r="145" spans="1:45" ht="32.450000000000003" customHeight="1" thickBot="1">
      <c r="A145" s="427" t="s">
        <v>891</v>
      </c>
      <c r="B145" s="221"/>
      <c r="C145" s="214" t="s">
        <v>892</v>
      </c>
      <c r="D145" s="216">
        <f>D146+D149</f>
        <v>117657</v>
      </c>
      <c r="E145" s="216">
        <f>E146+E149</f>
        <v>117657</v>
      </c>
      <c r="F145" s="216">
        <f t="shared" ref="F145:G145" si="122">F146+F149</f>
        <v>35599</v>
      </c>
      <c r="G145" s="216">
        <f t="shared" si="122"/>
        <v>117657</v>
      </c>
      <c r="H145" s="216"/>
      <c r="I145" s="32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316">
        <f t="shared" ref="AG145:AG151" si="123">SUM(I145:AF145)</f>
        <v>0</v>
      </c>
      <c r="AH145" s="315">
        <f t="shared" ref="AH145:AH151" si="124">F145+AG145</f>
        <v>35599</v>
      </c>
      <c r="AI145" s="217"/>
      <c r="AJ145" s="239">
        <f t="shared" ref="AJ145:AJ151" si="125">G145</f>
        <v>117657</v>
      </c>
      <c r="AK145" s="219">
        <f t="shared" ref="AK145:AK151" si="126">D145-AJ145</f>
        <v>0</v>
      </c>
      <c r="AL145" s="220">
        <f t="shared" ref="AL145:AL154" si="127">E145-AJ145</f>
        <v>0</v>
      </c>
      <c r="AM145" s="161"/>
      <c r="AN145" s="115"/>
      <c r="AO145" s="115"/>
      <c r="AP145" s="115"/>
      <c r="AQ145" s="115"/>
      <c r="AR145" s="170">
        <f t="shared" ref="AR145:AR151" si="128">AM145+AN145+AO145+AP145+AQ145</f>
        <v>0</v>
      </c>
      <c r="AS145" s="417">
        <f t="shared" ref="AS145:AS151" si="129">G145/E145*100</f>
        <v>100</v>
      </c>
    </row>
    <row r="146" spans="1:45" ht="16.5" customHeight="1" thickBot="1">
      <c r="A146" s="428" t="s">
        <v>133</v>
      </c>
      <c r="B146" s="221"/>
      <c r="C146" s="221" t="s">
        <v>893</v>
      </c>
      <c r="D146" s="217">
        <f>D147</f>
        <v>9960</v>
      </c>
      <c r="E146" s="217">
        <f>E147</f>
        <v>9960</v>
      </c>
      <c r="F146" s="217">
        <f t="shared" ref="F146:G147" si="130">F147</f>
        <v>0</v>
      </c>
      <c r="G146" s="217">
        <f t="shared" si="130"/>
        <v>9960</v>
      </c>
      <c r="H146" s="217"/>
      <c r="I146" s="320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316">
        <f t="shared" si="123"/>
        <v>0</v>
      </c>
      <c r="AH146" s="315">
        <f t="shared" si="124"/>
        <v>0</v>
      </c>
      <c r="AI146" s="217"/>
      <c r="AJ146" s="217">
        <f t="shared" si="125"/>
        <v>9960</v>
      </c>
      <c r="AK146" s="219">
        <f t="shared" si="126"/>
        <v>0</v>
      </c>
      <c r="AL146" s="220">
        <f t="shared" si="127"/>
        <v>0</v>
      </c>
      <c r="AM146" s="161"/>
      <c r="AN146" s="115"/>
      <c r="AO146" s="115"/>
      <c r="AP146" s="115"/>
      <c r="AQ146" s="115"/>
      <c r="AR146" s="170">
        <f t="shared" si="128"/>
        <v>0</v>
      </c>
      <c r="AS146" s="417">
        <f t="shared" si="129"/>
        <v>100</v>
      </c>
    </row>
    <row r="147" spans="1:45" ht="15.6" customHeight="1" thickBot="1">
      <c r="A147" s="428" t="s">
        <v>857</v>
      </c>
      <c r="B147" s="221"/>
      <c r="C147" s="221" t="s">
        <v>943</v>
      </c>
      <c r="D147" s="217">
        <f>D148</f>
        <v>9960</v>
      </c>
      <c r="E147" s="217">
        <f>E148</f>
        <v>9960</v>
      </c>
      <c r="F147" s="217">
        <f t="shared" si="130"/>
        <v>0</v>
      </c>
      <c r="G147" s="217">
        <f t="shared" si="130"/>
        <v>9960</v>
      </c>
      <c r="H147" s="217"/>
      <c r="I147" s="320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316">
        <f t="shared" si="123"/>
        <v>0</v>
      </c>
      <c r="AH147" s="315">
        <f t="shared" si="124"/>
        <v>0</v>
      </c>
      <c r="AI147" s="217"/>
      <c r="AJ147" s="217">
        <f t="shared" si="125"/>
        <v>9960</v>
      </c>
      <c r="AK147" s="219">
        <f t="shared" si="126"/>
        <v>0</v>
      </c>
      <c r="AL147" s="220">
        <f t="shared" si="127"/>
        <v>0</v>
      </c>
      <c r="AM147" s="161"/>
      <c r="AN147" s="115"/>
      <c r="AO147" s="115"/>
      <c r="AP147" s="115"/>
      <c r="AQ147" s="115"/>
      <c r="AR147" s="170">
        <f t="shared" si="128"/>
        <v>0</v>
      </c>
      <c r="AS147" s="417">
        <f t="shared" si="129"/>
        <v>100</v>
      </c>
    </row>
    <row r="148" spans="1:45" ht="16.5" customHeight="1" thickBot="1">
      <c r="A148" s="428" t="s">
        <v>858</v>
      </c>
      <c r="B148" s="221"/>
      <c r="C148" s="221" t="s">
        <v>942</v>
      </c>
      <c r="D148" s="217">
        <f>D156</f>
        <v>9960</v>
      </c>
      <c r="E148" s="217">
        <f>E156</f>
        <v>9960</v>
      </c>
      <c r="F148" s="217">
        <f t="shared" ref="F148:G148" si="131">F156</f>
        <v>0</v>
      </c>
      <c r="G148" s="217">
        <f t="shared" si="131"/>
        <v>9960</v>
      </c>
      <c r="H148" s="217"/>
      <c r="I148" s="320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316">
        <f t="shared" si="123"/>
        <v>0</v>
      </c>
      <c r="AH148" s="315">
        <f t="shared" si="124"/>
        <v>0</v>
      </c>
      <c r="AI148" s="217"/>
      <c r="AJ148" s="217">
        <f t="shared" si="125"/>
        <v>9960</v>
      </c>
      <c r="AK148" s="219">
        <f t="shared" si="126"/>
        <v>0</v>
      </c>
      <c r="AL148" s="220">
        <f t="shared" si="127"/>
        <v>0</v>
      </c>
      <c r="AM148" s="161"/>
      <c r="AN148" s="115"/>
      <c r="AO148" s="115"/>
      <c r="AP148" s="115"/>
      <c r="AQ148" s="115"/>
      <c r="AR148" s="170">
        <f t="shared" si="128"/>
        <v>0</v>
      </c>
      <c r="AS148" s="417">
        <f t="shared" si="129"/>
        <v>100</v>
      </c>
    </row>
    <row r="149" spans="1:45" ht="13.5" hidden="1" customHeight="1" thickBot="1">
      <c r="A149" s="428" t="s">
        <v>141</v>
      </c>
      <c r="B149" s="221"/>
      <c r="C149" s="221" t="s">
        <v>894</v>
      </c>
      <c r="D149" s="217">
        <f>D151+D150</f>
        <v>107697</v>
      </c>
      <c r="E149" s="217">
        <f>E151+E150</f>
        <v>107697</v>
      </c>
      <c r="F149" s="217">
        <f t="shared" ref="F149:G149" si="132">F151+F150</f>
        <v>35599</v>
      </c>
      <c r="G149" s="217">
        <f t="shared" si="132"/>
        <v>107697</v>
      </c>
      <c r="H149" s="217"/>
      <c r="I149" s="320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316">
        <f t="shared" si="123"/>
        <v>0</v>
      </c>
      <c r="AH149" s="315">
        <f t="shared" si="124"/>
        <v>35599</v>
      </c>
      <c r="AI149" s="217"/>
      <c r="AJ149" s="217">
        <f t="shared" si="125"/>
        <v>107697</v>
      </c>
      <c r="AK149" s="219">
        <f t="shared" si="126"/>
        <v>0</v>
      </c>
      <c r="AL149" s="220">
        <f t="shared" si="127"/>
        <v>0</v>
      </c>
      <c r="AM149" s="161"/>
      <c r="AN149" s="115"/>
      <c r="AO149" s="115"/>
      <c r="AP149" s="115"/>
      <c r="AQ149" s="115"/>
      <c r="AR149" s="170">
        <f t="shared" si="128"/>
        <v>0</v>
      </c>
      <c r="AS149" s="417">
        <f t="shared" si="129"/>
        <v>100</v>
      </c>
    </row>
    <row r="150" spans="1:45" ht="12" hidden="1" customHeight="1" thickBot="1">
      <c r="A150" s="428" t="s">
        <v>186</v>
      </c>
      <c r="B150" s="221"/>
      <c r="C150" s="221" t="s">
        <v>899</v>
      </c>
      <c r="D150" s="217"/>
      <c r="E150" s="217"/>
      <c r="F150" s="217">
        <f t="shared" ref="F150" si="133">F161</f>
        <v>0</v>
      </c>
      <c r="G150" s="217"/>
      <c r="H150" s="217"/>
      <c r="I150" s="320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316"/>
      <c r="AH150" s="315"/>
      <c r="AI150" s="217"/>
      <c r="AJ150" s="217">
        <f t="shared" si="125"/>
        <v>0</v>
      </c>
      <c r="AK150" s="219">
        <f t="shared" si="126"/>
        <v>0</v>
      </c>
      <c r="AL150" s="220">
        <f t="shared" si="127"/>
        <v>0</v>
      </c>
      <c r="AM150" s="161"/>
      <c r="AN150" s="115"/>
      <c r="AO150" s="115"/>
      <c r="AP150" s="115"/>
      <c r="AQ150" s="115"/>
      <c r="AR150" s="170"/>
    </row>
    <row r="151" spans="1:45" ht="17.100000000000001" customHeight="1" thickBot="1">
      <c r="A151" s="428" t="s">
        <v>144</v>
      </c>
      <c r="B151" s="221"/>
      <c r="C151" s="221" t="s">
        <v>895</v>
      </c>
      <c r="D151" s="217">
        <f>D152+D153</f>
        <v>107697</v>
      </c>
      <c r="E151" s="217">
        <f>E152+E153</f>
        <v>107697</v>
      </c>
      <c r="F151" s="217">
        <f t="shared" ref="F151:G151" si="134">F152+F153</f>
        <v>35599</v>
      </c>
      <c r="G151" s="217">
        <f t="shared" si="134"/>
        <v>107697</v>
      </c>
      <c r="H151" s="217"/>
      <c r="I151" s="320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316">
        <f t="shared" si="123"/>
        <v>0</v>
      </c>
      <c r="AH151" s="315">
        <f t="shared" si="124"/>
        <v>35599</v>
      </c>
      <c r="AI151" s="217"/>
      <c r="AJ151" s="217">
        <f t="shared" si="125"/>
        <v>107697</v>
      </c>
      <c r="AK151" s="219">
        <f t="shared" si="126"/>
        <v>0</v>
      </c>
      <c r="AL151" s="220">
        <f t="shared" si="127"/>
        <v>0</v>
      </c>
      <c r="AM151" s="161"/>
      <c r="AN151" s="115"/>
      <c r="AO151" s="115"/>
      <c r="AP151" s="115"/>
      <c r="AQ151" s="115"/>
      <c r="AR151" s="170">
        <f t="shared" si="128"/>
        <v>0</v>
      </c>
      <c r="AS151" s="417">
        <f t="shared" si="129"/>
        <v>100</v>
      </c>
    </row>
    <row r="152" spans="1:45" ht="12.6" hidden="1" customHeight="1" thickBot="1">
      <c r="A152" s="428" t="s">
        <v>804</v>
      </c>
      <c r="B152" s="221"/>
      <c r="C152" s="221" t="s">
        <v>896</v>
      </c>
      <c r="D152" s="217">
        <f>D157</f>
        <v>0</v>
      </c>
      <c r="E152" s="217">
        <f>E157</f>
        <v>0</v>
      </c>
      <c r="F152" s="217">
        <f>F157</f>
        <v>0</v>
      </c>
      <c r="G152" s="217">
        <f>G157</f>
        <v>0</v>
      </c>
      <c r="H152" s="217"/>
      <c r="I152" s="320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316"/>
      <c r="AH152" s="315"/>
      <c r="AI152" s="217"/>
      <c r="AJ152" s="217">
        <f>G152</f>
        <v>0</v>
      </c>
      <c r="AK152" s="219">
        <f>D152-AJ152</f>
        <v>0</v>
      </c>
      <c r="AL152" s="220">
        <f>E152-AJ152</f>
        <v>0</v>
      </c>
      <c r="AM152" s="161"/>
      <c r="AN152" s="115"/>
      <c r="AO152" s="115"/>
      <c r="AP152" s="115"/>
      <c r="AQ152" s="115"/>
      <c r="AR152" s="170"/>
      <c r="AS152" s="417" t="e">
        <f>G152/E152*100</f>
        <v>#DIV/0!</v>
      </c>
    </row>
    <row r="153" spans="1:45" ht="12.6" hidden="1" customHeight="1" thickBot="1">
      <c r="A153" s="428" t="s">
        <v>804</v>
      </c>
      <c r="B153" s="221"/>
      <c r="C153" s="221" t="s">
        <v>896</v>
      </c>
      <c r="D153" s="217">
        <f>D161</f>
        <v>107697</v>
      </c>
      <c r="E153" s="217">
        <f>E161</f>
        <v>107697</v>
      </c>
      <c r="F153" s="217">
        <f>F158</f>
        <v>35599</v>
      </c>
      <c r="G153" s="217">
        <f>G158</f>
        <v>107697</v>
      </c>
      <c r="H153" s="217"/>
      <c r="I153" s="320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316"/>
      <c r="AH153" s="315"/>
      <c r="AI153" s="217"/>
      <c r="AJ153" s="217">
        <f>G153</f>
        <v>107697</v>
      </c>
      <c r="AK153" s="219">
        <f>D153-AJ153</f>
        <v>0</v>
      </c>
      <c r="AL153" s="220">
        <f>E153-AJ153</f>
        <v>0</v>
      </c>
      <c r="AM153" s="161"/>
      <c r="AN153" s="115"/>
      <c r="AO153" s="115"/>
      <c r="AP153" s="115"/>
      <c r="AQ153" s="115"/>
      <c r="AR153" s="170"/>
      <c r="AS153" s="417">
        <f>G153/E153*100</f>
        <v>100</v>
      </c>
    </row>
    <row r="154" spans="1:45" ht="23.25" customHeight="1" thickBot="1">
      <c r="A154" s="398" t="s">
        <v>897</v>
      </c>
      <c r="B154" s="143"/>
      <c r="C154" s="143" t="s">
        <v>912</v>
      </c>
      <c r="D154" s="110">
        <f>D157+D156</f>
        <v>9960</v>
      </c>
      <c r="E154" s="110">
        <f>E157+E156</f>
        <v>9960</v>
      </c>
      <c r="F154" s="110">
        <f t="shared" ref="F154:G154" si="135">F157+F156</f>
        <v>0</v>
      </c>
      <c r="G154" s="110">
        <f t="shared" si="135"/>
        <v>9960</v>
      </c>
      <c r="H154" s="110"/>
      <c r="I154" s="32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316">
        <f t="shared" si="51"/>
        <v>0</v>
      </c>
      <c r="AH154" s="315">
        <f t="shared" si="47"/>
        <v>0</v>
      </c>
      <c r="AI154" s="120"/>
      <c r="AJ154" s="110">
        <f t="shared" si="100"/>
        <v>9960</v>
      </c>
      <c r="AK154" s="113">
        <f t="shared" si="79"/>
        <v>0</v>
      </c>
      <c r="AL154" s="567">
        <f t="shared" si="127"/>
        <v>0</v>
      </c>
      <c r="AM154" s="133"/>
      <c r="AN154" s="110"/>
      <c r="AO154" s="110"/>
      <c r="AP154" s="110"/>
      <c r="AQ154" s="110"/>
      <c r="AR154" s="170">
        <f t="shared" si="78"/>
        <v>0</v>
      </c>
      <c r="AS154" s="417">
        <f t="shared" si="46"/>
        <v>100</v>
      </c>
    </row>
    <row r="155" spans="1:45" ht="12" customHeight="1" thickBot="1">
      <c r="A155" s="425"/>
      <c r="B155" s="140"/>
      <c r="C155" s="140" t="s">
        <v>778</v>
      </c>
      <c r="D155" s="120"/>
      <c r="E155" s="120"/>
      <c r="F155" s="120"/>
      <c r="G155" s="120"/>
      <c r="H155" s="120"/>
      <c r="I155" s="320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316">
        <f t="shared" si="51"/>
        <v>0</v>
      </c>
      <c r="AH155" s="315">
        <f t="shared" si="47"/>
        <v>0</v>
      </c>
      <c r="AI155" s="120"/>
      <c r="AJ155" s="111"/>
      <c r="AK155" s="113">
        <f t="shared" si="79"/>
        <v>0</v>
      </c>
      <c r="AL155" s="172">
        <f t="shared" si="80"/>
        <v>0</v>
      </c>
      <c r="AM155" s="133"/>
      <c r="AN155" s="110"/>
      <c r="AO155" s="110"/>
      <c r="AP155" s="110"/>
      <c r="AQ155" s="110"/>
      <c r="AR155" s="170">
        <f t="shared" si="78"/>
        <v>0</v>
      </c>
      <c r="AS155" s="417" t="e">
        <f t="shared" si="46"/>
        <v>#DIV/0!</v>
      </c>
    </row>
    <row r="156" spans="1:45" ht="14.45" customHeight="1" thickBot="1">
      <c r="A156" s="431" t="s">
        <v>858</v>
      </c>
      <c r="B156" s="140"/>
      <c r="C156" s="140" t="s">
        <v>931</v>
      </c>
      <c r="D156" s="120">
        <v>9960</v>
      </c>
      <c r="E156" s="120">
        <v>9960</v>
      </c>
      <c r="F156" s="120"/>
      <c r="G156" s="120">
        <v>9960</v>
      </c>
      <c r="H156" s="120"/>
      <c r="I156" s="320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316">
        <f t="shared" ref="AG156" si="136">SUM(I156:AF156)</f>
        <v>0</v>
      </c>
      <c r="AH156" s="315">
        <f t="shared" si="47"/>
        <v>0</v>
      </c>
      <c r="AI156" s="120"/>
      <c r="AJ156" s="120">
        <f t="shared" ref="AJ156" si="137">G156</f>
        <v>9960</v>
      </c>
      <c r="AK156" s="113">
        <f t="shared" ref="AK156" si="138">D156-AJ156</f>
        <v>0</v>
      </c>
      <c r="AL156" s="172">
        <f t="shared" ref="AL156" si="139">E156-AJ156</f>
        <v>0</v>
      </c>
      <c r="AM156" s="133"/>
      <c r="AN156" s="110"/>
      <c r="AO156" s="110"/>
      <c r="AP156" s="110"/>
      <c r="AQ156" s="110"/>
      <c r="AR156" s="170">
        <f t="shared" ref="AR156" si="140">AM156+AN156+AO156+AP156+AQ156</f>
        <v>0</v>
      </c>
      <c r="AS156" s="417">
        <f t="shared" ref="AS156" si="141">G156/E156*100</f>
        <v>100</v>
      </c>
    </row>
    <row r="157" spans="1:45" ht="15.6" hidden="1" customHeight="1" thickBot="1">
      <c r="A157" s="431" t="s">
        <v>804</v>
      </c>
      <c r="B157" s="140"/>
      <c r="C157" s="140" t="s">
        <v>911</v>
      </c>
      <c r="D157" s="120">
        <v>0</v>
      </c>
      <c r="E157" s="120">
        <v>0</v>
      </c>
      <c r="F157" s="120"/>
      <c r="G157" s="120">
        <v>0</v>
      </c>
      <c r="H157" s="120"/>
      <c r="I157" s="320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316">
        <f t="shared" si="51"/>
        <v>0</v>
      </c>
      <c r="AH157" s="315">
        <f t="shared" ref="AH157:AH205" si="142">F157+AG157</f>
        <v>0</v>
      </c>
      <c r="AI157" s="120"/>
      <c r="AJ157" s="120">
        <f t="shared" ref="AJ157" si="143">G157</f>
        <v>0</v>
      </c>
      <c r="AK157" s="113">
        <f t="shared" si="79"/>
        <v>0</v>
      </c>
      <c r="AL157" s="172">
        <f t="shared" si="80"/>
        <v>0</v>
      </c>
      <c r="AM157" s="133"/>
      <c r="AN157" s="110"/>
      <c r="AO157" s="110"/>
      <c r="AP157" s="110"/>
      <c r="AQ157" s="110"/>
      <c r="AR157" s="170">
        <f t="shared" si="78"/>
        <v>0</v>
      </c>
      <c r="AS157" s="417" t="e">
        <f t="shared" si="46"/>
        <v>#DIV/0!</v>
      </c>
    </row>
    <row r="158" spans="1:45" ht="21" customHeight="1" thickBot="1">
      <c r="A158" s="398" t="s">
        <v>898</v>
      </c>
      <c r="B158" s="142"/>
      <c r="C158" s="142" t="s">
        <v>458</v>
      </c>
      <c r="D158" s="110">
        <f>SUM(D160:D161)</f>
        <v>107697</v>
      </c>
      <c r="E158" s="110">
        <f>SUM(E160:E161)</f>
        <v>107697</v>
      </c>
      <c r="F158" s="110">
        <f t="shared" ref="F158:G158" si="144">SUM(F160:F161)</f>
        <v>35599</v>
      </c>
      <c r="G158" s="110">
        <f t="shared" si="144"/>
        <v>107697</v>
      </c>
      <c r="H158" s="110"/>
      <c r="I158" s="32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316">
        <f t="shared" ref="AG158:AG207" si="145">SUM(I158:AF158)</f>
        <v>0</v>
      </c>
      <c r="AH158" s="315">
        <f t="shared" si="142"/>
        <v>35599</v>
      </c>
      <c r="AI158" s="120"/>
      <c r="AJ158" s="110">
        <f t="shared" ref="AJ158" si="146">G158</f>
        <v>107697</v>
      </c>
      <c r="AK158" s="113">
        <f t="shared" si="79"/>
        <v>0</v>
      </c>
      <c r="AL158" s="172">
        <f t="shared" si="80"/>
        <v>0</v>
      </c>
      <c r="AM158" s="133"/>
      <c r="AN158" s="110"/>
      <c r="AO158" s="110"/>
      <c r="AP158" s="110"/>
      <c r="AQ158" s="110"/>
      <c r="AR158" s="170">
        <f t="shared" ref="AR158:AR160" si="147">AM158+AN158+AO158+AP158+AQ158</f>
        <v>0</v>
      </c>
      <c r="AS158" s="417">
        <f t="shared" si="46"/>
        <v>100</v>
      </c>
    </row>
    <row r="159" spans="1:45" ht="11.45" customHeight="1" thickBot="1">
      <c r="A159" s="425"/>
      <c r="B159" s="140"/>
      <c r="C159" s="140" t="s">
        <v>132</v>
      </c>
      <c r="D159" s="111"/>
      <c r="E159" s="111"/>
      <c r="F159" s="111"/>
      <c r="G159" s="111"/>
      <c r="H159" s="111"/>
      <c r="I159" s="322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  <c r="AC159" s="191"/>
      <c r="AD159" s="191"/>
      <c r="AE159" s="191"/>
      <c r="AF159" s="191"/>
      <c r="AG159" s="316">
        <f t="shared" si="145"/>
        <v>0</v>
      </c>
      <c r="AH159" s="315">
        <f t="shared" si="142"/>
        <v>0</v>
      </c>
      <c r="AI159" s="120"/>
      <c r="AJ159" s="110"/>
      <c r="AK159" s="113"/>
      <c r="AL159" s="172"/>
      <c r="AM159" s="133"/>
      <c r="AN159" s="110"/>
      <c r="AO159" s="110"/>
      <c r="AP159" s="110"/>
      <c r="AQ159" s="110"/>
      <c r="AR159" s="170">
        <f t="shared" si="147"/>
        <v>0</v>
      </c>
      <c r="AS159" s="417" t="e">
        <f t="shared" si="46"/>
        <v>#DIV/0!</v>
      </c>
    </row>
    <row r="160" spans="1:45" ht="14.1" hidden="1" customHeight="1" thickBot="1">
      <c r="A160" s="425" t="s">
        <v>147</v>
      </c>
      <c r="B160" s="140"/>
      <c r="C160" s="140" t="s">
        <v>459</v>
      </c>
      <c r="D160" s="120">
        <v>0</v>
      </c>
      <c r="E160" s="120">
        <v>0</v>
      </c>
      <c r="F160" s="120">
        <v>35599</v>
      </c>
      <c r="G160" s="120"/>
      <c r="H160" s="120"/>
      <c r="I160" s="320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  <c r="AG160" s="316">
        <f t="shared" si="145"/>
        <v>0</v>
      </c>
      <c r="AH160" s="315">
        <f t="shared" si="142"/>
        <v>35599</v>
      </c>
      <c r="AI160" s="120"/>
      <c r="AJ160" s="120">
        <f t="shared" ref="AJ160:AJ162" si="148">G160</f>
        <v>0</v>
      </c>
      <c r="AK160" s="113">
        <f t="shared" si="79"/>
        <v>0</v>
      </c>
      <c r="AL160" s="172">
        <f t="shared" si="80"/>
        <v>0</v>
      </c>
      <c r="AM160" s="133"/>
      <c r="AN160" s="110"/>
      <c r="AO160" s="110"/>
      <c r="AP160" s="110"/>
      <c r="AQ160" s="110"/>
      <c r="AR160" s="170">
        <f t="shared" si="147"/>
        <v>0</v>
      </c>
      <c r="AS160" s="417" t="e">
        <f t="shared" si="46"/>
        <v>#DIV/0!</v>
      </c>
    </row>
    <row r="161" spans="1:45" ht="15" customHeight="1" thickBot="1">
      <c r="A161" s="431" t="s">
        <v>804</v>
      </c>
      <c r="B161" s="140"/>
      <c r="C161" s="140" t="s">
        <v>1043</v>
      </c>
      <c r="D161" s="120">
        <v>107697</v>
      </c>
      <c r="E161" s="120">
        <v>107697</v>
      </c>
      <c r="F161" s="120"/>
      <c r="G161" s="120">
        <v>107697</v>
      </c>
      <c r="H161" s="120"/>
      <c r="I161" s="320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  <c r="AC161" s="191"/>
      <c r="AD161" s="191"/>
      <c r="AE161" s="191"/>
      <c r="AF161" s="191"/>
      <c r="AG161" s="316">
        <f t="shared" ref="AG161" si="149">SUM(I161:AF161)</f>
        <v>0</v>
      </c>
      <c r="AH161" s="315">
        <f t="shared" ref="AH161" si="150">F161+AG161</f>
        <v>0</v>
      </c>
      <c r="AI161" s="120"/>
      <c r="AJ161" s="120">
        <f t="shared" ref="AJ161" si="151">G161</f>
        <v>107697</v>
      </c>
      <c r="AK161" s="113">
        <f t="shared" ref="AK161" si="152">D161-AJ161</f>
        <v>0</v>
      </c>
      <c r="AL161" s="172">
        <f t="shared" ref="AL161" si="153">E161-AJ161</f>
        <v>0</v>
      </c>
      <c r="AM161" s="133"/>
      <c r="AN161" s="110"/>
      <c r="AO161" s="110"/>
      <c r="AP161" s="110"/>
      <c r="AQ161" s="110"/>
      <c r="AR161" s="170">
        <f t="shared" ref="AR161" si="154">AM161+AN161+AO161+AP161+AQ161</f>
        <v>0</v>
      </c>
      <c r="AS161" s="417">
        <f t="shared" ref="AS161" si="155">G161/E161*100</f>
        <v>100</v>
      </c>
    </row>
    <row r="162" spans="1:45" ht="16.5" customHeight="1" thickBot="1">
      <c r="A162" s="432" t="s">
        <v>691</v>
      </c>
      <c r="B162" s="235"/>
      <c r="C162" s="235" t="s">
        <v>16</v>
      </c>
      <c r="D162" s="237">
        <f>D164+D170</f>
        <v>6335700.0599999996</v>
      </c>
      <c r="E162" s="237">
        <f>E164+E170</f>
        <v>6335700.0599999996</v>
      </c>
      <c r="F162" s="237">
        <f t="shared" ref="F162" si="156">F164+F170</f>
        <v>3714510</v>
      </c>
      <c r="G162" s="237">
        <f>G164+G170</f>
        <v>6332253.96</v>
      </c>
      <c r="H162" s="233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  <c r="AC162" s="191"/>
      <c r="AD162" s="191"/>
      <c r="AE162" s="191"/>
      <c r="AF162" s="191"/>
      <c r="AG162" s="316">
        <f t="shared" si="145"/>
        <v>0</v>
      </c>
      <c r="AH162" s="315">
        <f t="shared" si="142"/>
        <v>3714510</v>
      </c>
      <c r="AI162" s="232"/>
      <c r="AJ162" s="237">
        <f t="shared" si="148"/>
        <v>6332253.96</v>
      </c>
      <c r="AK162" s="233">
        <f t="shared" si="79"/>
        <v>3446.0999999996275</v>
      </c>
      <c r="AL162" s="234">
        <f t="shared" si="80"/>
        <v>3446.0999999996275</v>
      </c>
      <c r="AM162" s="133"/>
      <c r="AN162" s="110"/>
      <c r="AO162" s="110"/>
      <c r="AP162" s="110"/>
      <c r="AQ162" s="110"/>
      <c r="AR162" s="170">
        <f t="shared" ref="AR162:AR178" si="157">AM162+AN162+AO162+AP162+AQ162</f>
        <v>0</v>
      </c>
      <c r="AS162" s="417">
        <f t="shared" si="46"/>
        <v>99.945608220601272</v>
      </c>
    </row>
    <row r="163" spans="1:45" ht="12.75" customHeight="1" thickBot="1">
      <c r="A163" s="424"/>
      <c r="B163" s="230"/>
      <c r="C163" s="230" t="s">
        <v>132</v>
      </c>
      <c r="D163" s="232"/>
      <c r="E163" s="232"/>
      <c r="F163" s="232"/>
      <c r="G163" s="232"/>
      <c r="H163" s="232"/>
      <c r="I163" s="320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  <c r="AC163" s="191"/>
      <c r="AD163" s="191"/>
      <c r="AE163" s="191"/>
      <c r="AF163" s="191"/>
      <c r="AG163" s="316">
        <f t="shared" si="145"/>
        <v>0</v>
      </c>
      <c r="AH163" s="315">
        <f t="shared" si="142"/>
        <v>0</v>
      </c>
      <c r="AI163" s="232"/>
      <c r="AJ163" s="232"/>
      <c r="AK163" s="233"/>
      <c r="AL163" s="234"/>
      <c r="AM163" s="133"/>
      <c r="AN163" s="110"/>
      <c r="AO163" s="110"/>
      <c r="AP163" s="110"/>
      <c r="AQ163" s="110"/>
      <c r="AR163" s="170">
        <f t="shared" si="157"/>
        <v>0</v>
      </c>
      <c r="AS163" s="417" t="e">
        <f t="shared" si="46"/>
        <v>#DIV/0!</v>
      </c>
    </row>
    <row r="164" spans="1:45" ht="14.25" customHeight="1" thickBot="1">
      <c r="A164" s="424" t="s">
        <v>133</v>
      </c>
      <c r="B164" s="230"/>
      <c r="C164" s="230" t="s">
        <v>390</v>
      </c>
      <c r="D164" s="232">
        <f>D165+D172</f>
        <v>6269052.0599999996</v>
      </c>
      <c r="E164" s="232">
        <f>E165+E172</f>
        <v>6269052.0599999996</v>
      </c>
      <c r="F164" s="232">
        <f t="shared" ref="F164:G164" si="158">F165+F172</f>
        <v>3714510</v>
      </c>
      <c r="G164" s="232">
        <f t="shared" si="158"/>
        <v>6265605.96</v>
      </c>
      <c r="H164" s="232"/>
      <c r="I164" s="320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316">
        <f t="shared" si="145"/>
        <v>0</v>
      </c>
      <c r="AH164" s="315">
        <f t="shared" si="142"/>
        <v>3714510</v>
      </c>
      <c r="AI164" s="232"/>
      <c r="AJ164" s="232">
        <f>G164</f>
        <v>6265605.96</v>
      </c>
      <c r="AK164" s="233">
        <f t="shared" ref="AK164:AK183" si="159">D164-AJ164</f>
        <v>3446.0999999996275</v>
      </c>
      <c r="AL164" s="234">
        <f t="shared" ref="AL164:AL183" si="160">E164-AJ164</f>
        <v>3446.0999999996275</v>
      </c>
      <c r="AM164" s="133"/>
      <c r="AN164" s="110"/>
      <c r="AO164" s="110"/>
      <c r="AP164" s="110"/>
      <c r="AQ164" s="110"/>
      <c r="AR164" s="170">
        <f t="shared" si="157"/>
        <v>0</v>
      </c>
      <c r="AS164" s="417">
        <f t="shared" si="46"/>
        <v>99.945029966779387</v>
      </c>
    </row>
    <row r="165" spans="1:45" ht="13.5" customHeight="1" thickBot="1">
      <c r="A165" s="424" t="s">
        <v>136</v>
      </c>
      <c r="B165" s="230"/>
      <c r="C165" s="230" t="s">
        <v>460</v>
      </c>
      <c r="D165" s="232">
        <f>D168+D169+D166+D167</f>
        <v>6061483</v>
      </c>
      <c r="E165" s="232">
        <f>E168+E169+E166+E167</f>
        <v>6061483</v>
      </c>
      <c r="F165" s="232">
        <f t="shared" ref="F165:G165" si="161">F168+F169+F166+F167</f>
        <v>3714510</v>
      </c>
      <c r="G165" s="232">
        <f t="shared" si="161"/>
        <v>6061483</v>
      </c>
      <c r="H165" s="232"/>
      <c r="I165" s="320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316">
        <f t="shared" si="145"/>
        <v>0</v>
      </c>
      <c r="AH165" s="315">
        <f t="shared" si="142"/>
        <v>3714510</v>
      </c>
      <c r="AI165" s="232"/>
      <c r="AJ165" s="232">
        <f>G165</f>
        <v>6061483</v>
      </c>
      <c r="AK165" s="233">
        <f t="shared" si="159"/>
        <v>0</v>
      </c>
      <c r="AL165" s="234">
        <f t="shared" si="160"/>
        <v>0</v>
      </c>
      <c r="AM165" s="133"/>
      <c r="AN165" s="110"/>
      <c r="AO165" s="110"/>
      <c r="AP165" s="110"/>
      <c r="AQ165" s="110"/>
      <c r="AR165" s="170">
        <f t="shared" si="157"/>
        <v>0</v>
      </c>
      <c r="AS165" s="417">
        <f t="shared" si="46"/>
        <v>100</v>
      </c>
    </row>
    <row r="166" spans="1:45" ht="14.1" customHeight="1" thickBot="1">
      <c r="A166" s="424" t="s">
        <v>674</v>
      </c>
      <c r="B166" s="230"/>
      <c r="C166" s="230" t="s">
        <v>14</v>
      </c>
      <c r="D166" s="232">
        <f>D189</f>
        <v>50000</v>
      </c>
      <c r="E166" s="232">
        <f>E189</f>
        <v>50000</v>
      </c>
      <c r="F166" s="232">
        <f>F189</f>
        <v>0</v>
      </c>
      <c r="G166" s="232">
        <f>G189</f>
        <v>50000</v>
      </c>
      <c r="H166" s="232"/>
      <c r="I166" s="320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  <c r="AC166" s="191"/>
      <c r="AD166" s="191"/>
      <c r="AE166" s="191"/>
      <c r="AF166" s="191"/>
      <c r="AG166" s="316">
        <f t="shared" si="145"/>
        <v>0</v>
      </c>
      <c r="AH166" s="315">
        <f t="shared" si="142"/>
        <v>0</v>
      </c>
      <c r="AI166" s="232"/>
      <c r="AJ166" s="232">
        <f>G166</f>
        <v>50000</v>
      </c>
      <c r="AK166" s="233">
        <f t="shared" si="159"/>
        <v>0</v>
      </c>
      <c r="AL166" s="234">
        <f t="shared" si="160"/>
        <v>0</v>
      </c>
      <c r="AM166" s="133"/>
      <c r="AN166" s="110"/>
      <c r="AO166" s="110"/>
      <c r="AP166" s="110"/>
      <c r="AQ166" s="110"/>
      <c r="AR166" s="170"/>
      <c r="AS166" s="417">
        <f t="shared" si="46"/>
        <v>100</v>
      </c>
    </row>
    <row r="167" spans="1:45" ht="22.5" customHeight="1" thickBot="1">
      <c r="A167" s="573" t="s">
        <v>1039</v>
      </c>
      <c r="B167" s="574"/>
      <c r="C167" s="574" t="s">
        <v>1041</v>
      </c>
      <c r="D167" s="232">
        <f>D188</f>
        <v>5200</v>
      </c>
      <c r="E167" s="232">
        <f>E188</f>
        <v>5200</v>
      </c>
      <c r="F167" s="232">
        <f t="shared" ref="F167:G167" si="162">F188</f>
        <v>0</v>
      </c>
      <c r="G167" s="232">
        <f t="shared" si="162"/>
        <v>5200</v>
      </c>
      <c r="H167" s="232"/>
      <c r="I167" s="320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  <c r="AA167" s="191"/>
      <c r="AB167" s="191"/>
      <c r="AC167" s="191"/>
      <c r="AD167" s="191"/>
      <c r="AE167" s="191"/>
      <c r="AF167" s="191"/>
      <c r="AG167" s="316"/>
      <c r="AH167" s="315"/>
      <c r="AI167" s="232"/>
      <c r="AJ167" s="232">
        <f>G167</f>
        <v>5200</v>
      </c>
      <c r="AK167" s="233">
        <f t="shared" si="159"/>
        <v>0</v>
      </c>
      <c r="AL167" s="234">
        <f t="shared" si="160"/>
        <v>0</v>
      </c>
      <c r="AM167" s="133"/>
      <c r="AN167" s="110"/>
      <c r="AO167" s="110"/>
      <c r="AP167" s="110"/>
      <c r="AQ167" s="110"/>
      <c r="AR167" s="170"/>
    </row>
    <row r="168" spans="1:45" s="109" customFormat="1" ht="13.5" customHeight="1" thickBot="1">
      <c r="A168" s="424" t="s">
        <v>689</v>
      </c>
      <c r="B168" s="230"/>
      <c r="C168" s="230" t="s">
        <v>461</v>
      </c>
      <c r="D168" s="232">
        <f>D190+D178</f>
        <v>6006283</v>
      </c>
      <c r="E168" s="232">
        <f>E190+E178</f>
        <v>6006283</v>
      </c>
      <c r="F168" s="232">
        <f>F190+F178</f>
        <v>3619750</v>
      </c>
      <c r="G168" s="232">
        <f>G190+G178</f>
        <v>6006283</v>
      </c>
      <c r="H168" s="232"/>
      <c r="I168" s="320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  <c r="AA168" s="191"/>
      <c r="AB168" s="191"/>
      <c r="AC168" s="191"/>
      <c r="AD168" s="191"/>
      <c r="AE168" s="191"/>
      <c r="AF168" s="191"/>
      <c r="AG168" s="316">
        <f t="shared" si="145"/>
        <v>0</v>
      </c>
      <c r="AH168" s="315">
        <f t="shared" si="142"/>
        <v>3619750</v>
      </c>
      <c r="AI168" s="232"/>
      <c r="AJ168" s="232">
        <f>G168</f>
        <v>6006283</v>
      </c>
      <c r="AK168" s="233">
        <f t="shared" si="159"/>
        <v>0</v>
      </c>
      <c r="AL168" s="234">
        <f t="shared" si="160"/>
        <v>0</v>
      </c>
      <c r="AM168" s="133"/>
      <c r="AN168" s="110"/>
      <c r="AO168" s="110"/>
      <c r="AP168" s="110"/>
      <c r="AQ168" s="110"/>
      <c r="AR168" s="170">
        <f t="shared" si="157"/>
        <v>0</v>
      </c>
      <c r="AS168" s="417">
        <f t="shared" si="46"/>
        <v>100</v>
      </c>
    </row>
    <row r="169" spans="1:45" s="109" customFormat="1" ht="14.1" customHeight="1" thickBot="1">
      <c r="A169" s="424" t="s">
        <v>147</v>
      </c>
      <c r="B169" s="230"/>
      <c r="C169" s="230" t="s">
        <v>462</v>
      </c>
      <c r="D169" s="232">
        <f>D191</f>
        <v>0</v>
      </c>
      <c r="E169" s="232">
        <f>E191</f>
        <v>0</v>
      </c>
      <c r="F169" s="232">
        <f t="shared" ref="F169:G169" si="163">F191</f>
        <v>94760</v>
      </c>
      <c r="G169" s="232">
        <f t="shared" si="163"/>
        <v>0</v>
      </c>
      <c r="H169" s="232"/>
      <c r="I169" s="320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  <c r="AA169" s="191"/>
      <c r="AB169" s="191"/>
      <c r="AC169" s="191"/>
      <c r="AD169" s="191"/>
      <c r="AE169" s="191"/>
      <c r="AF169" s="191"/>
      <c r="AG169" s="316">
        <f t="shared" si="145"/>
        <v>0</v>
      </c>
      <c r="AH169" s="315">
        <f t="shared" si="142"/>
        <v>94760</v>
      </c>
      <c r="AI169" s="232"/>
      <c r="AJ169" s="232">
        <f t="shared" ref="AJ169:AJ174" si="164">G169</f>
        <v>0</v>
      </c>
      <c r="AK169" s="233">
        <f t="shared" si="159"/>
        <v>0</v>
      </c>
      <c r="AL169" s="234">
        <f t="shared" si="160"/>
        <v>0</v>
      </c>
      <c r="AM169" s="133"/>
      <c r="AN169" s="110"/>
      <c r="AO169" s="110"/>
      <c r="AP169" s="110"/>
      <c r="AQ169" s="110"/>
      <c r="AR169" s="170">
        <f t="shared" si="157"/>
        <v>0</v>
      </c>
      <c r="AS169" s="417" t="e">
        <f t="shared" si="46"/>
        <v>#DIV/0!</v>
      </c>
    </row>
    <row r="170" spans="1:45" s="109" customFormat="1" ht="14.25" customHeight="1" thickBot="1">
      <c r="A170" s="424" t="s">
        <v>141</v>
      </c>
      <c r="B170" s="230"/>
      <c r="C170" s="230" t="s">
        <v>906</v>
      </c>
      <c r="D170" s="232">
        <f>D171</f>
        <v>66648</v>
      </c>
      <c r="E170" s="232">
        <f>E171</f>
        <v>66648</v>
      </c>
      <c r="F170" s="232">
        <f t="shared" ref="F170:G170" si="165">F171</f>
        <v>0</v>
      </c>
      <c r="G170" s="232">
        <f t="shared" si="165"/>
        <v>66648</v>
      </c>
      <c r="H170" s="232"/>
      <c r="I170" s="320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  <c r="AA170" s="191"/>
      <c r="AB170" s="191"/>
      <c r="AC170" s="191"/>
      <c r="AD170" s="191"/>
      <c r="AE170" s="191"/>
      <c r="AF170" s="191"/>
      <c r="AG170" s="316"/>
      <c r="AH170" s="315"/>
      <c r="AI170" s="232"/>
      <c r="AJ170" s="232">
        <f t="shared" si="164"/>
        <v>66648</v>
      </c>
      <c r="AK170" s="233">
        <f t="shared" si="159"/>
        <v>0</v>
      </c>
      <c r="AL170" s="234">
        <f t="shared" si="160"/>
        <v>0</v>
      </c>
      <c r="AM170" s="133"/>
      <c r="AN170" s="110"/>
      <c r="AO170" s="110"/>
      <c r="AP170" s="110"/>
      <c r="AQ170" s="110"/>
      <c r="AR170" s="170"/>
      <c r="AS170" s="417"/>
    </row>
    <row r="171" spans="1:45" s="109" customFormat="1" ht="15" customHeight="1" thickBot="1">
      <c r="A171" s="424" t="s">
        <v>144</v>
      </c>
      <c r="B171" s="230"/>
      <c r="C171" s="230" t="s">
        <v>907</v>
      </c>
      <c r="D171" s="232">
        <f>D196</f>
        <v>66648</v>
      </c>
      <c r="E171" s="232">
        <f>E196</f>
        <v>66648</v>
      </c>
      <c r="F171" s="232"/>
      <c r="G171" s="232">
        <f>G196</f>
        <v>66648</v>
      </c>
      <c r="H171" s="232"/>
      <c r="I171" s="320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  <c r="AA171" s="191"/>
      <c r="AB171" s="191"/>
      <c r="AC171" s="191"/>
      <c r="AD171" s="191"/>
      <c r="AE171" s="191"/>
      <c r="AF171" s="191"/>
      <c r="AG171" s="316"/>
      <c r="AH171" s="315"/>
      <c r="AI171" s="232"/>
      <c r="AJ171" s="232">
        <f t="shared" si="164"/>
        <v>66648</v>
      </c>
      <c r="AK171" s="233">
        <f t="shared" si="159"/>
        <v>0</v>
      </c>
      <c r="AL171" s="234">
        <f t="shared" si="160"/>
        <v>0</v>
      </c>
      <c r="AM171" s="133"/>
      <c r="AN171" s="110"/>
      <c r="AO171" s="110"/>
      <c r="AP171" s="110"/>
      <c r="AQ171" s="110"/>
      <c r="AR171" s="170"/>
      <c r="AS171" s="417"/>
    </row>
    <row r="172" spans="1:45" s="109" customFormat="1" ht="13.5" customHeight="1" thickBot="1">
      <c r="A172" s="424" t="s">
        <v>676</v>
      </c>
      <c r="B172" s="230"/>
      <c r="C172" s="230" t="s">
        <v>844</v>
      </c>
      <c r="D172" s="232">
        <f>D173</f>
        <v>207569.06</v>
      </c>
      <c r="E172" s="232">
        <f>E173</f>
        <v>207569.06</v>
      </c>
      <c r="F172" s="232">
        <f t="shared" ref="F172:G172" si="166">F173</f>
        <v>0</v>
      </c>
      <c r="G172" s="232">
        <f t="shared" si="166"/>
        <v>204122.96000000002</v>
      </c>
      <c r="H172" s="232"/>
      <c r="I172" s="320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  <c r="AD172" s="191"/>
      <c r="AE172" s="191"/>
      <c r="AF172" s="191"/>
      <c r="AG172" s="316"/>
      <c r="AH172" s="315"/>
      <c r="AI172" s="232"/>
      <c r="AJ172" s="232">
        <f t="shared" si="164"/>
        <v>204122.96000000002</v>
      </c>
      <c r="AK172" s="233">
        <f t="shared" si="159"/>
        <v>3446.0999999999767</v>
      </c>
      <c r="AL172" s="234">
        <f t="shared" si="160"/>
        <v>3446.0999999999767</v>
      </c>
      <c r="AM172" s="133"/>
      <c r="AN172" s="110"/>
      <c r="AO172" s="110"/>
      <c r="AP172" s="110"/>
      <c r="AQ172" s="110"/>
      <c r="AR172" s="170"/>
      <c r="AS172" s="417">
        <f t="shared" si="46"/>
        <v>98.339781468394193</v>
      </c>
    </row>
    <row r="173" spans="1:45" s="109" customFormat="1" ht="12.75" customHeight="1" thickBot="1">
      <c r="A173" s="424" t="s">
        <v>841</v>
      </c>
      <c r="B173" s="230"/>
      <c r="C173" s="230" t="s">
        <v>845</v>
      </c>
      <c r="D173" s="232">
        <f>D193</f>
        <v>207569.06</v>
      </c>
      <c r="E173" s="232">
        <f>E193</f>
        <v>207569.06</v>
      </c>
      <c r="F173" s="232">
        <f t="shared" ref="F173:G173" si="167">F193</f>
        <v>0</v>
      </c>
      <c r="G173" s="232">
        <f t="shared" si="167"/>
        <v>204122.96000000002</v>
      </c>
      <c r="H173" s="232"/>
      <c r="I173" s="320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316"/>
      <c r="AH173" s="315"/>
      <c r="AI173" s="232"/>
      <c r="AJ173" s="232">
        <f t="shared" si="164"/>
        <v>204122.96000000002</v>
      </c>
      <c r="AK173" s="233">
        <f t="shared" si="159"/>
        <v>3446.0999999999767</v>
      </c>
      <c r="AL173" s="234">
        <f t="shared" si="160"/>
        <v>3446.0999999999767</v>
      </c>
      <c r="AM173" s="133"/>
      <c r="AN173" s="110"/>
      <c r="AO173" s="110"/>
      <c r="AP173" s="110"/>
      <c r="AQ173" s="110"/>
      <c r="AR173" s="170"/>
      <c r="AS173" s="417">
        <f t="shared" si="46"/>
        <v>98.339781468394193</v>
      </c>
    </row>
    <row r="174" spans="1:45" ht="17.25" customHeight="1" thickBot="1">
      <c r="A174" s="433" t="s">
        <v>686</v>
      </c>
      <c r="B174" s="144"/>
      <c r="C174" s="144" t="s">
        <v>696</v>
      </c>
      <c r="D174" s="117">
        <f>D176</f>
        <v>126426</v>
      </c>
      <c r="E174" s="117">
        <f>E176</f>
        <v>126426</v>
      </c>
      <c r="F174" s="117">
        <f>F176</f>
        <v>89680</v>
      </c>
      <c r="G174" s="117">
        <f>G176</f>
        <v>126426</v>
      </c>
      <c r="H174" s="112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316">
        <f t="shared" si="145"/>
        <v>0</v>
      </c>
      <c r="AH174" s="315">
        <f t="shared" si="142"/>
        <v>89680</v>
      </c>
      <c r="AI174" s="119"/>
      <c r="AJ174" s="117">
        <f t="shared" si="164"/>
        <v>126426</v>
      </c>
      <c r="AK174" s="112">
        <f t="shared" si="159"/>
        <v>0</v>
      </c>
      <c r="AL174" s="173">
        <f t="shared" si="160"/>
        <v>0</v>
      </c>
      <c r="AM174" s="133"/>
      <c r="AN174" s="110"/>
      <c r="AO174" s="110"/>
      <c r="AP174" s="110"/>
      <c r="AQ174" s="110"/>
      <c r="AR174" s="170">
        <f t="shared" si="157"/>
        <v>0</v>
      </c>
      <c r="AS174" s="417">
        <f t="shared" ref="AS174:AS240" si="168">G174/E174*100</f>
        <v>100</v>
      </c>
    </row>
    <row r="175" spans="1:45" ht="11.25" customHeight="1" thickBot="1">
      <c r="A175" s="434"/>
      <c r="B175" s="141"/>
      <c r="C175" s="141" t="s">
        <v>132</v>
      </c>
      <c r="D175" s="119"/>
      <c r="E175" s="119"/>
      <c r="F175" s="119"/>
      <c r="G175" s="119"/>
      <c r="H175" s="119"/>
      <c r="I175" s="320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1"/>
      <c r="AD175" s="191"/>
      <c r="AE175" s="191"/>
      <c r="AF175" s="191"/>
      <c r="AG175" s="316">
        <f t="shared" si="145"/>
        <v>0</v>
      </c>
      <c r="AH175" s="315">
        <f t="shared" si="142"/>
        <v>0</v>
      </c>
      <c r="AI175" s="119"/>
      <c r="AJ175" s="119"/>
      <c r="AK175" s="112">
        <f t="shared" si="159"/>
        <v>0</v>
      </c>
      <c r="AL175" s="173">
        <f t="shared" si="160"/>
        <v>0</v>
      </c>
      <c r="AM175" s="133"/>
      <c r="AN175" s="110"/>
      <c r="AO175" s="110"/>
      <c r="AP175" s="110"/>
      <c r="AQ175" s="110"/>
      <c r="AR175" s="170">
        <f t="shared" si="157"/>
        <v>0</v>
      </c>
      <c r="AS175" s="417" t="e">
        <f t="shared" si="168"/>
        <v>#DIV/0!</v>
      </c>
    </row>
    <row r="176" spans="1:45" ht="15" customHeight="1" thickBot="1">
      <c r="A176" s="434" t="s">
        <v>133</v>
      </c>
      <c r="B176" s="141"/>
      <c r="C176" s="141" t="s">
        <v>693</v>
      </c>
      <c r="D176" s="119">
        <f t="shared" ref="D176:G177" si="169">D177</f>
        <v>126426</v>
      </c>
      <c r="E176" s="119">
        <f t="shared" si="169"/>
        <v>126426</v>
      </c>
      <c r="F176" s="119">
        <f t="shared" si="169"/>
        <v>89680</v>
      </c>
      <c r="G176" s="119">
        <f t="shared" si="169"/>
        <v>126426</v>
      </c>
      <c r="H176" s="119"/>
      <c r="I176" s="320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316">
        <f t="shared" si="145"/>
        <v>0</v>
      </c>
      <c r="AH176" s="315">
        <f t="shared" si="142"/>
        <v>89680</v>
      </c>
      <c r="AI176" s="119"/>
      <c r="AJ176" s="119">
        <f>G176</f>
        <v>126426</v>
      </c>
      <c r="AK176" s="112">
        <f t="shared" si="159"/>
        <v>0</v>
      </c>
      <c r="AL176" s="173">
        <f t="shared" si="160"/>
        <v>0</v>
      </c>
      <c r="AM176" s="133"/>
      <c r="AN176" s="110"/>
      <c r="AO176" s="110"/>
      <c r="AP176" s="110"/>
      <c r="AQ176" s="110"/>
      <c r="AR176" s="170">
        <f t="shared" si="157"/>
        <v>0</v>
      </c>
      <c r="AS176" s="417">
        <f t="shared" si="168"/>
        <v>100</v>
      </c>
    </row>
    <row r="177" spans="1:45" ht="15.75" customHeight="1" thickBot="1">
      <c r="A177" s="434" t="s">
        <v>136</v>
      </c>
      <c r="B177" s="141"/>
      <c r="C177" s="141" t="s">
        <v>695</v>
      </c>
      <c r="D177" s="119">
        <f t="shared" si="169"/>
        <v>126426</v>
      </c>
      <c r="E177" s="119">
        <f t="shared" si="169"/>
        <v>126426</v>
      </c>
      <c r="F177" s="119">
        <f t="shared" si="169"/>
        <v>89680</v>
      </c>
      <c r="G177" s="119">
        <f t="shared" si="169"/>
        <v>126426</v>
      </c>
      <c r="H177" s="119"/>
      <c r="I177" s="320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  <c r="AA177" s="191"/>
      <c r="AB177" s="191"/>
      <c r="AC177" s="191"/>
      <c r="AD177" s="191"/>
      <c r="AE177" s="191"/>
      <c r="AF177" s="191"/>
      <c r="AG177" s="316">
        <f t="shared" si="145"/>
        <v>0</v>
      </c>
      <c r="AH177" s="315">
        <f t="shared" si="142"/>
        <v>89680</v>
      </c>
      <c r="AI177" s="119"/>
      <c r="AJ177" s="119">
        <f>G177</f>
        <v>126426</v>
      </c>
      <c r="AK177" s="112">
        <f t="shared" si="159"/>
        <v>0</v>
      </c>
      <c r="AL177" s="173">
        <f t="shared" si="160"/>
        <v>0</v>
      </c>
      <c r="AM177" s="133"/>
      <c r="AN177" s="110"/>
      <c r="AO177" s="110"/>
      <c r="AP177" s="110"/>
      <c r="AQ177" s="110"/>
      <c r="AR177" s="170">
        <f t="shared" si="157"/>
        <v>0</v>
      </c>
      <c r="AS177" s="417">
        <f t="shared" si="168"/>
        <v>100</v>
      </c>
    </row>
    <row r="178" spans="1:45" s="109" customFormat="1" ht="15.75" customHeight="1" thickBot="1">
      <c r="A178" s="434" t="s">
        <v>689</v>
      </c>
      <c r="B178" s="141"/>
      <c r="C178" s="141" t="s">
        <v>386</v>
      </c>
      <c r="D178" s="119">
        <f>D183</f>
        <v>126426</v>
      </c>
      <c r="E178" s="119">
        <f>E183</f>
        <v>126426</v>
      </c>
      <c r="F178" s="119">
        <f>F183</f>
        <v>89680</v>
      </c>
      <c r="G178" s="119">
        <f>G179</f>
        <v>126426</v>
      </c>
      <c r="H178" s="119"/>
      <c r="I178" s="320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316">
        <f t="shared" si="145"/>
        <v>0</v>
      </c>
      <c r="AH178" s="315">
        <f t="shared" si="142"/>
        <v>89680</v>
      </c>
      <c r="AI178" s="119"/>
      <c r="AJ178" s="119">
        <f>G178</f>
        <v>126426</v>
      </c>
      <c r="AK178" s="112">
        <f t="shared" si="159"/>
        <v>0</v>
      </c>
      <c r="AL178" s="173">
        <f t="shared" si="160"/>
        <v>0</v>
      </c>
      <c r="AM178" s="133"/>
      <c r="AN178" s="110"/>
      <c r="AO178" s="110"/>
      <c r="AP178" s="110"/>
      <c r="AQ178" s="110"/>
      <c r="AR178" s="170">
        <f t="shared" si="157"/>
        <v>0</v>
      </c>
      <c r="AS178" s="417">
        <f t="shared" si="168"/>
        <v>100</v>
      </c>
    </row>
    <row r="179" spans="1:45" ht="15.6" customHeight="1" thickBot="1">
      <c r="A179" s="399" t="s">
        <v>686</v>
      </c>
      <c r="B179" s="182"/>
      <c r="C179" s="182" t="s">
        <v>697</v>
      </c>
      <c r="D179" s="148">
        <f>D181</f>
        <v>126426</v>
      </c>
      <c r="E179" s="148">
        <f>E181</f>
        <v>126426</v>
      </c>
      <c r="F179" s="148">
        <f>F181</f>
        <v>89680</v>
      </c>
      <c r="G179" s="148">
        <f>G181</f>
        <v>126426</v>
      </c>
      <c r="H179" s="127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316">
        <f t="shared" si="145"/>
        <v>0</v>
      </c>
      <c r="AH179" s="315">
        <f t="shared" si="142"/>
        <v>89680</v>
      </c>
      <c r="AI179" s="131"/>
      <c r="AJ179" s="183">
        <f>G179</f>
        <v>126426</v>
      </c>
      <c r="AK179" s="181">
        <f t="shared" si="159"/>
        <v>0</v>
      </c>
      <c r="AL179" s="175">
        <f t="shared" si="160"/>
        <v>0</v>
      </c>
      <c r="AM179" s="133"/>
      <c r="AN179" s="110"/>
      <c r="AO179" s="110"/>
      <c r="AP179" s="110"/>
      <c r="AQ179" s="110"/>
      <c r="AR179" s="170">
        <f t="shared" ref="AR179:AR183" si="170">AM179+AN179+AO179+AP179+AQ179</f>
        <v>0</v>
      </c>
      <c r="AS179" s="417">
        <f t="shared" si="168"/>
        <v>100</v>
      </c>
    </row>
    <row r="180" spans="1:45" ht="13.5" customHeight="1" thickBot="1">
      <c r="A180" s="426"/>
      <c r="B180" s="146"/>
      <c r="C180" s="146" t="s">
        <v>132</v>
      </c>
      <c r="D180" s="147"/>
      <c r="E180" s="147"/>
      <c r="F180" s="147"/>
      <c r="G180" s="147"/>
      <c r="H180" s="147"/>
      <c r="I180" s="320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  <c r="AC180" s="191"/>
      <c r="AD180" s="191"/>
      <c r="AE180" s="191"/>
      <c r="AF180" s="191"/>
      <c r="AG180" s="316">
        <f t="shared" si="145"/>
        <v>0</v>
      </c>
      <c r="AH180" s="315">
        <f t="shared" si="142"/>
        <v>0</v>
      </c>
      <c r="AI180" s="131"/>
      <c r="AJ180" s="131"/>
      <c r="AK180" s="181">
        <f t="shared" si="159"/>
        <v>0</v>
      </c>
      <c r="AL180" s="175">
        <f t="shared" si="160"/>
        <v>0</v>
      </c>
      <c r="AM180" s="133"/>
      <c r="AN180" s="110"/>
      <c r="AO180" s="110"/>
      <c r="AP180" s="110"/>
      <c r="AQ180" s="110"/>
      <c r="AR180" s="170">
        <f t="shared" si="170"/>
        <v>0</v>
      </c>
      <c r="AS180" s="417" t="e">
        <f t="shared" si="168"/>
        <v>#DIV/0!</v>
      </c>
    </row>
    <row r="181" spans="1:45" ht="15" hidden="1" customHeight="1" thickBot="1">
      <c r="A181" s="426" t="s">
        <v>133</v>
      </c>
      <c r="B181" s="146"/>
      <c r="C181" s="146" t="s">
        <v>667</v>
      </c>
      <c r="D181" s="147">
        <f t="shared" ref="D181:G182" si="171">D182</f>
        <v>126426</v>
      </c>
      <c r="E181" s="147">
        <f t="shared" si="171"/>
        <v>126426</v>
      </c>
      <c r="F181" s="147">
        <f t="shared" si="171"/>
        <v>89680</v>
      </c>
      <c r="G181" s="147">
        <f t="shared" si="171"/>
        <v>126426</v>
      </c>
      <c r="H181" s="147"/>
      <c r="I181" s="320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  <c r="AC181" s="191"/>
      <c r="AD181" s="191"/>
      <c r="AE181" s="191"/>
      <c r="AF181" s="191"/>
      <c r="AG181" s="316">
        <f t="shared" si="145"/>
        <v>0</v>
      </c>
      <c r="AH181" s="315">
        <f t="shared" si="142"/>
        <v>89680</v>
      </c>
      <c r="AI181" s="131"/>
      <c r="AJ181" s="131">
        <f>G181</f>
        <v>126426</v>
      </c>
      <c r="AK181" s="181">
        <f t="shared" si="159"/>
        <v>0</v>
      </c>
      <c r="AL181" s="175">
        <f t="shared" si="160"/>
        <v>0</v>
      </c>
      <c r="AM181" s="133"/>
      <c r="AN181" s="110"/>
      <c r="AO181" s="110"/>
      <c r="AP181" s="110"/>
      <c r="AQ181" s="110"/>
      <c r="AR181" s="170">
        <f t="shared" si="170"/>
        <v>0</v>
      </c>
      <c r="AS181" s="417">
        <f t="shared" si="168"/>
        <v>100</v>
      </c>
    </row>
    <row r="182" spans="1:45" ht="15.6" hidden="1" customHeight="1" thickBot="1">
      <c r="A182" s="426" t="s">
        <v>136</v>
      </c>
      <c r="B182" s="146"/>
      <c r="C182" s="146" t="s">
        <v>666</v>
      </c>
      <c r="D182" s="147">
        <f t="shared" si="171"/>
        <v>126426</v>
      </c>
      <c r="E182" s="147">
        <f t="shared" si="171"/>
        <v>126426</v>
      </c>
      <c r="F182" s="147">
        <f t="shared" si="171"/>
        <v>89680</v>
      </c>
      <c r="G182" s="147">
        <f t="shared" si="171"/>
        <v>126426</v>
      </c>
      <c r="H182" s="147"/>
      <c r="I182" s="320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  <c r="AA182" s="191"/>
      <c r="AB182" s="191"/>
      <c r="AC182" s="191"/>
      <c r="AD182" s="191"/>
      <c r="AE182" s="191"/>
      <c r="AF182" s="191"/>
      <c r="AG182" s="316">
        <f t="shared" si="145"/>
        <v>0</v>
      </c>
      <c r="AH182" s="315">
        <f t="shared" si="142"/>
        <v>89680</v>
      </c>
      <c r="AI182" s="131"/>
      <c r="AJ182" s="131">
        <f>G182</f>
        <v>126426</v>
      </c>
      <c r="AK182" s="181">
        <f t="shared" si="159"/>
        <v>0</v>
      </c>
      <c r="AL182" s="175">
        <f t="shared" si="160"/>
        <v>0</v>
      </c>
      <c r="AM182" s="133"/>
      <c r="AN182" s="110"/>
      <c r="AO182" s="110"/>
      <c r="AP182" s="110"/>
      <c r="AQ182" s="110"/>
      <c r="AR182" s="170">
        <f t="shared" si="170"/>
        <v>0</v>
      </c>
      <c r="AS182" s="417">
        <f t="shared" si="168"/>
        <v>100</v>
      </c>
    </row>
    <row r="183" spans="1:45" s="109" customFormat="1" ht="16.5" customHeight="1" thickBot="1">
      <c r="A183" s="426" t="s">
        <v>689</v>
      </c>
      <c r="B183" s="146"/>
      <c r="C183" s="146" t="s">
        <v>665</v>
      </c>
      <c r="D183" s="147">
        <v>126426</v>
      </c>
      <c r="E183" s="147">
        <v>126426</v>
      </c>
      <c r="F183" s="147">
        <v>89680</v>
      </c>
      <c r="G183" s="147">
        <f>43706+41360+41360</f>
        <v>126426</v>
      </c>
      <c r="H183" s="147"/>
      <c r="I183" s="320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1"/>
      <c r="AD183" s="191"/>
      <c r="AE183" s="191"/>
      <c r="AF183" s="191"/>
      <c r="AG183" s="316">
        <f t="shared" si="145"/>
        <v>0</v>
      </c>
      <c r="AH183" s="315">
        <f t="shared" si="142"/>
        <v>89680</v>
      </c>
      <c r="AI183" s="131"/>
      <c r="AJ183" s="131">
        <f>G183</f>
        <v>126426</v>
      </c>
      <c r="AK183" s="181">
        <f t="shared" si="159"/>
        <v>0</v>
      </c>
      <c r="AL183" s="175">
        <f t="shared" si="160"/>
        <v>0</v>
      </c>
      <c r="AM183" s="133"/>
      <c r="AN183" s="110"/>
      <c r="AO183" s="110"/>
      <c r="AP183" s="110"/>
      <c r="AQ183" s="110"/>
      <c r="AR183" s="170">
        <f t="shared" si="170"/>
        <v>0</v>
      </c>
      <c r="AS183" s="417">
        <f t="shared" si="168"/>
        <v>100</v>
      </c>
    </row>
    <row r="184" spans="1:45" ht="15.75" customHeight="1" thickBot="1">
      <c r="A184" s="427" t="s">
        <v>587</v>
      </c>
      <c r="B184" s="214"/>
      <c r="C184" s="214" t="s">
        <v>463</v>
      </c>
      <c r="D184" s="218">
        <f>D186+D194</f>
        <v>6209274.0599999996</v>
      </c>
      <c r="E184" s="218">
        <f>E186+E194</f>
        <v>6209274.0599999996</v>
      </c>
      <c r="F184" s="218">
        <f t="shared" ref="F184:G184" si="172">F186+F194</f>
        <v>3684830</v>
      </c>
      <c r="G184" s="218">
        <f t="shared" si="172"/>
        <v>6205827.96</v>
      </c>
      <c r="H184" s="219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  <c r="AC184" s="191"/>
      <c r="AD184" s="191"/>
      <c r="AE184" s="191"/>
      <c r="AF184" s="191"/>
      <c r="AG184" s="316">
        <f t="shared" si="145"/>
        <v>0</v>
      </c>
      <c r="AH184" s="315">
        <f t="shared" si="142"/>
        <v>3684830</v>
      </c>
      <c r="AI184" s="217"/>
      <c r="AJ184" s="218">
        <f>G184</f>
        <v>6205827.96</v>
      </c>
      <c r="AK184" s="219">
        <f>D184-AJ184</f>
        <v>3446.0999999996275</v>
      </c>
      <c r="AL184" s="220">
        <f>E184-AJ184</f>
        <v>3446.0999999996275</v>
      </c>
      <c r="AM184" s="133"/>
      <c r="AN184" s="110"/>
      <c r="AO184" s="110"/>
      <c r="AP184" s="110"/>
      <c r="AQ184" s="110"/>
      <c r="AR184" s="170">
        <f>AM184+AN184+AO184+AP184+AQ184</f>
        <v>0</v>
      </c>
      <c r="AS184" s="417">
        <f t="shared" si="168"/>
        <v>99.944500758595936</v>
      </c>
    </row>
    <row r="185" spans="1:45" ht="12" customHeight="1" thickBot="1">
      <c r="A185" s="428"/>
      <c r="B185" s="221"/>
      <c r="C185" s="221" t="s">
        <v>132</v>
      </c>
      <c r="D185" s="217"/>
      <c r="E185" s="217"/>
      <c r="F185" s="217"/>
      <c r="G185" s="217"/>
      <c r="H185" s="217"/>
      <c r="I185" s="320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1"/>
      <c r="AD185" s="191"/>
      <c r="AE185" s="191"/>
      <c r="AF185" s="191"/>
      <c r="AG185" s="316">
        <f t="shared" si="145"/>
        <v>0</v>
      </c>
      <c r="AH185" s="315">
        <f t="shared" si="142"/>
        <v>0</v>
      </c>
      <c r="AI185" s="217"/>
      <c r="AJ185" s="217"/>
      <c r="AK185" s="219"/>
      <c r="AL185" s="220"/>
      <c r="AM185" s="133"/>
      <c r="AN185" s="110"/>
      <c r="AO185" s="110"/>
      <c r="AP185" s="110"/>
      <c r="AQ185" s="110"/>
      <c r="AR185" s="170">
        <f>AM185+AN185+AO185+AP185+AQ185</f>
        <v>0</v>
      </c>
      <c r="AS185" s="417" t="e">
        <f t="shared" si="168"/>
        <v>#DIV/0!</v>
      </c>
    </row>
    <row r="186" spans="1:45" ht="12.75" customHeight="1" thickBot="1">
      <c r="A186" s="428" t="s">
        <v>133</v>
      </c>
      <c r="B186" s="221"/>
      <c r="C186" s="221" t="s">
        <v>391</v>
      </c>
      <c r="D186" s="217">
        <f>D187+D192</f>
        <v>6142626.0599999996</v>
      </c>
      <c r="E186" s="217">
        <f>E187+E192</f>
        <v>6142626.0599999996</v>
      </c>
      <c r="F186" s="217">
        <f t="shared" ref="F186:G186" si="173">F187+F192</f>
        <v>3624830</v>
      </c>
      <c r="G186" s="217">
        <f t="shared" si="173"/>
        <v>6139179.96</v>
      </c>
      <c r="H186" s="217"/>
      <c r="I186" s="320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316">
        <f t="shared" si="145"/>
        <v>0</v>
      </c>
      <c r="AH186" s="315">
        <f t="shared" si="142"/>
        <v>3624830</v>
      </c>
      <c r="AI186" s="217"/>
      <c r="AJ186" s="217">
        <f>G186</f>
        <v>6139179.96</v>
      </c>
      <c r="AK186" s="219">
        <f t="shared" ref="AK186:AK197" si="174">D186-AJ186</f>
        <v>3446.0999999996275</v>
      </c>
      <c r="AL186" s="220">
        <f t="shared" ref="AL186:AL197" si="175">E186-AJ186</f>
        <v>3446.0999999996275</v>
      </c>
      <c r="AM186" s="133"/>
      <c r="AN186" s="110"/>
      <c r="AO186" s="110"/>
      <c r="AP186" s="110"/>
      <c r="AQ186" s="110"/>
      <c r="AR186" s="170">
        <f>AM186+AN186+AO186+AP186+AQ186</f>
        <v>0</v>
      </c>
      <c r="AS186" s="417">
        <f t="shared" si="168"/>
        <v>99.943898587243652</v>
      </c>
    </row>
    <row r="187" spans="1:45" ht="12" customHeight="1" thickBot="1">
      <c r="A187" s="428" t="s">
        <v>136</v>
      </c>
      <c r="B187" s="221"/>
      <c r="C187" s="221" t="s">
        <v>392</v>
      </c>
      <c r="D187" s="217">
        <f>D191+D190+D189+D188</f>
        <v>5935057</v>
      </c>
      <c r="E187" s="217">
        <f>E191+E190+E189+E188</f>
        <v>5935057</v>
      </c>
      <c r="F187" s="217">
        <f t="shared" ref="F187:G187" si="176">F191+F190+F189+F188</f>
        <v>3624830</v>
      </c>
      <c r="G187" s="217">
        <f t="shared" si="176"/>
        <v>5935057</v>
      </c>
      <c r="H187" s="217"/>
      <c r="I187" s="320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316">
        <f t="shared" si="145"/>
        <v>0</v>
      </c>
      <c r="AH187" s="315">
        <f t="shared" si="142"/>
        <v>3624830</v>
      </c>
      <c r="AI187" s="217"/>
      <c r="AJ187" s="217">
        <f>G187</f>
        <v>5935057</v>
      </c>
      <c r="AK187" s="219">
        <f t="shared" si="174"/>
        <v>0</v>
      </c>
      <c r="AL187" s="220">
        <f t="shared" si="175"/>
        <v>0</v>
      </c>
      <c r="AM187" s="133"/>
      <c r="AN187" s="110"/>
      <c r="AO187" s="110"/>
      <c r="AP187" s="110"/>
      <c r="AQ187" s="110"/>
      <c r="AR187" s="170">
        <f>AM187+AN187+AO187+AP187+AQ187</f>
        <v>0</v>
      </c>
      <c r="AS187" s="417">
        <f t="shared" si="168"/>
        <v>100</v>
      </c>
    </row>
    <row r="188" spans="1:45" ht="27" customHeight="1" thickBot="1">
      <c r="A188" s="428" t="s">
        <v>1039</v>
      </c>
      <c r="B188" s="221"/>
      <c r="C188" s="221" t="s">
        <v>1040</v>
      </c>
      <c r="D188" s="217">
        <f>D201</f>
        <v>5200</v>
      </c>
      <c r="E188" s="217">
        <f>E201</f>
        <v>5200</v>
      </c>
      <c r="F188" s="217">
        <f t="shared" ref="F188:G188" si="177">F201</f>
        <v>0</v>
      </c>
      <c r="G188" s="217">
        <f t="shared" si="177"/>
        <v>5200</v>
      </c>
      <c r="H188" s="217"/>
      <c r="I188" s="320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316">
        <f t="shared" ref="AG188" si="178">SUM(I188:AF188)</f>
        <v>0</v>
      </c>
      <c r="AH188" s="315">
        <f t="shared" ref="AH188" si="179">F188+AG188</f>
        <v>0</v>
      </c>
      <c r="AI188" s="217"/>
      <c r="AJ188" s="217">
        <f>G188</f>
        <v>5200</v>
      </c>
      <c r="AK188" s="219">
        <f t="shared" ref="AK188" si="180">D188-AJ188</f>
        <v>0</v>
      </c>
      <c r="AL188" s="220">
        <f t="shared" ref="AL188" si="181">E188-AJ188</f>
        <v>0</v>
      </c>
      <c r="AM188" s="133"/>
      <c r="AN188" s="110"/>
      <c r="AO188" s="110"/>
      <c r="AP188" s="110"/>
      <c r="AQ188" s="110"/>
      <c r="AR188" s="170"/>
      <c r="AS188" s="417">
        <f t="shared" ref="AS188" si="182">G188/E188*100</f>
        <v>100</v>
      </c>
    </row>
    <row r="189" spans="1:45" ht="13.5" customHeight="1" thickBot="1">
      <c r="A189" s="428" t="s">
        <v>674</v>
      </c>
      <c r="B189" s="221"/>
      <c r="C189" s="221" t="s">
        <v>269</v>
      </c>
      <c r="D189" s="217">
        <f>D200</f>
        <v>50000</v>
      </c>
      <c r="E189" s="217">
        <f>E200</f>
        <v>50000</v>
      </c>
      <c r="F189" s="217">
        <f>F200</f>
        <v>0</v>
      </c>
      <c r="G189" s="217">
        <f>G200</f>
        <v>50000</v>
      </c>
      <c r="H189" s="217"/>
      <c r="I189" s="320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316">
        <f t="shared" si="145"/>
        <v>0</v>
      </c>
      <c r="AH189" s="315">
        <f t="shared" si="142"/>
        <v>0</v>
      </c>
      <c r="AI189" s="217"/>
      <c r="AJ189" s="217">
        <f>G189</f>
        <v>50000</v>
      </c>
      <c r="AK189" s="219">
        <f t="shared" si="174"/>
        <v>0</v>
      </c>
      <c r="AL189" s="220">
        <f t="shared" si="175"/>
        <v>0</v>
      </c>
      <c r="AM189" s="133"/>
      <c r="AN189" s="110"/>
      <c r="AO189" s="110"/>
      <c r="AP189" s="110"/>
      <c r="AQ189" s="110"/>
      <c r="AR189" s="170"/>
      <c r="AS189" s="417">
        <f t="shared" si="168"/>
        <v>100</v>
      </c>
    </row>
    <row r="190" spans="1:45" s="109" customFormat="1" ht="15" customHeight="1" thickBot="1">
      <c r="A190" s="428" t="s">
        <v>689</v>
      </c>
      <c r="B190" s="221"/>
      <c r="C190" s="221" t="s">
        <v>394</v>
      </c>
      <c r="D190" s="217">
        <f>D199+D211+D202+D216</f>
        <v>5879857</v>
      </c>
      <c r="E190" s="217">
        <f>E199+E211+E202+E216</f>
        <v>5879857</v>
      </c>
      <c r="F190" s="217">
        <f t="shared" ref="F190:G190" si="183">F199+F211+F202+F216</f>
        <v>3530070</v>
      </c>
      <c r="G190" s="217">
        <f t="shared" si="183"/>
        <v>5879857</v>
      </c>
      <c r="H190" s="217"/>
      <c r="I190" s="320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316">
        <f t="shared" si="145"/>
        <v>0</v>
      </c>
      <c r="AH190" s="315">
        <f t="shared" si="142"/>
        <v>3530070</v>
      </c>
      <c r="AI190" s="217"/>
      <c r="AJ190" s="217">
        <f t="shared" ref="AJ190:AJ197" si="184">G190</f>
        <v>5879857</v>
      </c>
      <c r="AK190" s="219">
        <f t="shared" si="174"/>
        <v>0</v>
      </c>
      <c r="AL190" s="220">
        <f t="shared" si="175"/>
        <v>0</v>
      </c>
      <c r="AM190" s="133"/>
      <c r="AN190" s="110"/>
      <c r="AO190" s="110"/>
      <c r="AP190" s="110"/>
      <c r="AQ190" s="110"/>
      <c r="AR190" s="170">
        <f>AM190+AN190+AO190+AP190+AQ190</f>
        <v>0</v>
      </c>
      <c r="AS190" s="417">
        <f t="shared" si="168"/>
        <v>100</v>
      </c>
    </row>
    <row r="191" spans="1:45" s="109" customFormat="1" ht="15" hidden="1" customHeight="1" thickBot="1">
      <c r="A191" s="428" t="s">
        <v>147</v>
      </c>
      <c r="B191" s="221"/>
      <c r="C191" s="221" t="s">
        <v>395</v>
      </c>
      <c r="D191" s="217">
        <f>D203</f>
        <v>0</v>
      </c>
      <c r="E191" s="217">
        <f>E203</f>
        <v>0</v>
      </c>
      <c r="F191" s="217">
        <f>F203</f>
        <v>94760</v>
      </c>
      <c r="G191" s="217">
        <f>G203</f>
        <v>0</v>
      </c>
      <c r="H191" s="217"/>
      <c r="I191" s="320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316">
        <f t="shared" si="145"/>
        <v>0</v>
      </c>
      <c r="AH191" s="315">
        <f t="shared" si="142"/>
        <v>94760</v>
      </c>
      <c r="AI191" s="217"/>
      <c r="AJ191" s="217">
        <f t="shared" si="184"/>
        <v>0</v>
      </c>
      <c r="AK191" s="219">
        <f t="shared" si="174"/>
        <v>0</v>
      </c>
      <c r="AL191" s="220">
        <f t="shared" si="175"/>
        <v>0</v>
      </c>
      <c r="AM191" s="133"/>
      <c r="AN191" s="110"/>
      <c r="AO191" s="110"/>
      <c r="AP191" s="110"/>
      <c r="AQ191" s="110"/>
      <c r="AR191" s="170">
        <f>AM191+AN191+AO191+AP191+AQ191</f>
        <v>0</v>
      </c>
      <c r="AS191" s="417" t="e">
        <f t="shared" si="168"/>
        <v>#DIV/0!</v>
      </c>
    </row>
    <row r="192" spans="1:45" s="109" customFormat="1" ht="15.6" customHeight="1" thickBot="1">
      <c r="A192" s="428" t="s">
        <v>676</v>
      </c>
      <c r="B192" s="221"/>
      <c r="C192" s="221" t="s">
        <v>843</v>
      </c>
      <c r="D192" s="217">
        <f>D193</f>
        <v>207569.06</v>
      </c>
      <c r="E192" s="217">
        <f>E193</f>
        <v>207569.06</v>
      </c>
      <c r="F192" s="217">
        <f t="shared" ref="F192:G192" si="185">F193</f>
        <v>0</v>
      </c>
      <c r="G192" s="217">
        <f t="shared" si="185"/>
        <v>204122.96000000002</v>
      </c>
      <c r="H192" s="217"/>
      <c r="I192" s="320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316"/>
      <c r="AH192" s="315"/>
      <c r="AI192" s="217"/>
      <c r="AJ192" s="217">
        <f t="shared" si="184"/>
        <v>204122.96000000002</v>
      </c>
      <c r="AK192" s="219">
        <f t="shared" si="174"/>
        <v>3446.0999999999767</v>
      </c>
      <c r="AL192" s="220">
        <f t="shared" si="175"/>
        <v>3446.0999999999767</v>
      </c>
      <c r="AM192" s="133"/>
      <c r="AN192" s="110"/>
      <c r="AO192" s="110"/>
      <c r="AP192" s="110"/>
      <c r="AQ192" s="110"/>
      <c r="AR192" s="170"/>
      <c r="AS192" s="417">
        <f t="shared" si="168"/>
        <v>98.339781468394193</v>
      </c>
    </row>
    <row r="193" spans="1:45" s="109" customFormat="1" ht="14.1" customHeight="1" thickBot="1">
      <c r="A193" s="428" t="s">
        <v>841</v>
      </c>
      <c r="B193" s="221"/>
      <c r="C193" s="221" t="s">
        <v>842</v>
      </c>
      <c r="D193" s="217">
        <f>D221</f>
        <v>207569.06</v>
      </c>
      <c r="E193" s="217">
        <f>E221</f>
        <v>207569.06</v>
      </c>
      <c r="F193" s="217">
        <f t="shared" ref="F193:G193" si="186">F221</f>
        <v>0</v>
      </c>
      <c r="G193" s="217">
        <f t="shared" si="186"/>
        <v>204122.96000000002</v>
      </c>
      <c r="H193" s="217"/>
      <c r="I193" s="320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316"/>
      <c r="AH193" s="315"/>
      <c r="AI193" s="217"/>
      <c r="AJ193" s="217">
        <f t="shared" si="184"/>
        <v>204122.96000000002</v>
      </c>
      <c r="AK193" s="219">
        <f t="shared" si="174"/>
        <v>3446.0999999999767</v>
      </c>
      <c r="AL193" s="220">
        <f t="shared" si="175"/>
        <v>3446.0999999999767</v>
      </c>
      <c r="AM193" s="133"/>
      <c r="AN193" s="110"/>
      <c r="AO193" s="110"/>
      <c r="AP193" s="110"/>
      <c r="AQ193" s="110"/>
      <c r="AR193" s="170"/>
      <c r="AS193" s="417">
        <f t="shared" si="168"/>
        <v>98.339781468394193</v>
      </c>
    </row>
    <row r="194" spans="1:45" s="109" customFormat="1" ht="18" hidden="1" customHeight="1" thickBot="1">
      <c r="A194" s="489" t="s">
        <v>141</v>
      </c>
      <c r="B194" s="490"/>
      <c r="C194" s="490" t="s">
        <v>807</v>
      </c>
      <c r="D194" s="491">
        <f>D195+D196</f>
        <v>66648</v>
      </c>
      <c r="E194" s="491">
        <f>E195+E196</f>
        <v>66648</v>
      </c>
      <c r="F194" s="491">
        <f>F195+F196</f>
        <v>60000</v>
      </c>
      <c r="G194" s="491">
        <f>G195+G196</f>
        <v>66648</v>
      </c>
      <c r="H194" s="491"/>
      <c r="I194" s="492"/>
      <c r="J194" s="493"/>
      <c r="K194" s="493"/>
      <c r="L194" s="493"/>
      <c r="M194" s="493"/>
      <c r="N194" s="493"/>
      <c r="O194" s="493"/>
      <c r="P194" s="493"/>
      <c r="Q194" s="493"/>
      <c r="R194" s="493"/>
      <c r="S194" s="493"/>
      <c r="T194" s="493"/>
      <c r="U194" s="493"/>
      <c r="V194" s="493"/>
      <c r="W194" s="493"/>
      <c r="X194" s="493"/>
      <c r="Y194" s="493"/>
      <c r="Z194" s="493"/>
      <c r="AA194" s="493"/>
      <c r="AB194" s="493"/>
      <c r="AC194" s="493"/>
      <c r="AD194" s="493"/>
      <c r="AE194" s="493"/>
      <c r="AF194" s="493"/>
      <c r="AG194" s="494">
        <f t="shared" si="145"/>
        <v>0</v>
      </c>
      <c r="AH194" s="495">
        <f t="shared" si="142"/>
        <v>60000</v>
      </c>
      <c r="AI194" s="491"/>
      <c r="AJ194" s="217">
        <f t="shared" si="184"/>
        <v>66648</v>
      </c>
      <c r="AK194" s="496">
        <f t="shared" si="174"/>
        <v>0</v>
      </c>
      <c r="AL194" s="497">
        <f t="shared" si="175"/>
        <v>0</v>
      </c>
      <c r="AM194" s="133"/>
      <c r="AN194" s="110"/>
      <c r="AO194" s="110"/>
      <c r="AP194" s="110"/>
      <c r="AQ194" s="110"/>
      <c r="AR194" s="170"/>
      <c r="AS194" s="417">
        <f t="shared" si="168"/>
        <v>100</v>
      </c>
    </row>
    <row r="195" spans="1:45" s="109" customFormat="1" ht="15.75" hidden="1" customHeight="1" thickBot="1">
      <c r="A195" s="489" t="s">
        <v>143</v>
      </c>
      <c r="B195" s="490"/>
      <c r="C195" s="490" t="s">
        <v>808</v>
      </c>
      <c r="D195" s="491">
        <f t="shared" ref="D195:G195" si="187">D204</f>
        <v>0</v>
      </c>
      <c r="E195" s="491">
        <f t="shared" ref="E195" si="188">E204</f>
        <v>0</v>
      </c>
      <c r="F195" s="491">
        <f>F204</f>
        <v>0</v>
      </c>
      <c r="G195" s="491">
        <f t="shared" si="187"/>
        <v>0</v>
      </c>
      <c r="H195" s="491"/>
      <c r="I195" s="492"/>
      <c r="J195" s="493"/>
      <c r="K195" s="493"/>
      <c r="L195" s="493"/>
      <c r="M195" s="493"/>
      <c r="N195" s="493"/>
      <c r="O195" s="493"/>
      <c r="P195" s="493"/>
      <c r="Q195" s="493"/>
      <c r="R195" s="493"/>
      <c r="S195" s="493"/>
      <c r="T195" s="493"/>
      <c r="U195" s="493"/>
      <c r="V195" s="493"/>
      <c r="W195" s="493"/>
      <c r="X195" s="493"/>
      <c r="Y195" s="493"/>
      <c r="Z195" s="493"/>
      <c r="AA195" s="493"/>
      <c r="AB195" s="493"/>
      <c r="AC195" s="493"/>
      <c r="AD195" s="493"/>
      <c r="AE195" s="493"/>
      <c r="AF195" s="493"/>
      <c r="AG195" s="494">
        <f t="shared" si="145"/>
        <v>0</v>
      </c>
      <c r="AH195" s="495">
        <f t="shared" si="142"/>
        <v>0</v>
      </c>
      <c r="AI195" s="491"/>
      <c r="AJ195" s="217">
        <f t="shared" si="184"/>
        <v>0</v>
      </c>
      <c r="AK195" s="496">
        <f t="shared" si="174"/>
        <v>0</v>
      </c>
      <c r="AL195" s="497">
        <f t="shared" si="175"/>
        <v>0</v>
      </c>
      <c r="AM195" s="133"/>
      <c r="AN195" s="110"/>
      <c r="AO195" s="110"/>
      <c r="AP195" s="110"/>
      <c r="AQ195" s="110"/>
      <c r="AR195" s="170"/>
      <c r="AS195" s="417" t="e">
        <f t="shared" si="168"/>
        <v>#DIV/0!</v>
      </c>
    </row>
    <row r="196" spans="1:45" s="109" customFormat="1" ht="16.5" hidden="1" customHeight="1" thickBot="1">
      <c r="A196" s="489" t="s">
        <v>144</v>
      </c>
      <c r="B196" s="490"/>
      <c r="C196" s="490" t="s">
        <v>809</v>
      </c>
      <c r="D196" s="491">
        <f>D205</f>
        <v>66648</v>
      </c>
      <c r="E196" s="491">
        <f>E205</f>
        <v>66648</v>
      </c>
      <c r="F196" s="491">
        <f>F205</f>
        <v>60000</v>
      </c>
      <c r="G196" s="491">
        <f>G205</f>
        <v>66648</v>
      </c>
      <c r="H196" s="491"/>
      <c r="I196" s="492"/>
      <c r="J196" s="493"/>
      <c r="K196" s="493"/>
      <c r="L196" s="493"/>
      <c r="M196" s="493"/>
      <c r="N196" s="493"/>
      <c r="O196" s="493"/>
      <c r="P196" s="493"/>
      <c r="Q196" s="493"/>
      <c r="R196" s="493"/>
      <c r="S196" s="493"/>
      <c r="T196" s="493"/>
      <c r="U196" s="493"/>
      <c r="V196" s="493"/>
      <c r="W196" s="493"/>
      <c r="X196" s="493"/>
      <c r="Y196" s="493"/>
      <c r="Z196" s="493"/>
      <c r="AA196" s="493"/>
      <c r="AB196" s="493"/>
      <c r="AC196" s="493"/>
      <c r="AD196" s="493"/>
      <c r="AE196" s="493"/>
      <c r="AF196" s="493"/>
      <c r="AG196" s="494">
        <f t="shared" si="145"/>
        <v>0</v>
      </c>
      <c r="AH196" s="495">
        <f t="shared" si="142"/>
        <v>60000</v>
      </c>
      <c r="AI196" s="491"/>
      <c r="AJ196" s="217">
        <f t="shared" si="184"/>
        <v>66648</v>
      </c>
      <c r="AK196" s="496">
        <f t="shared" si="174"/>
        <v>0</v>
      </c>
      <c r="AL196" s="497">
        <f t="shared" si="175"/>
        <v>0</v>
      </c>
      <c r="AM196" s="133"/>
      <c r="AN196" s="110"/>
      <c r="AO196" s="110"/>
      <c r="AP196" s="110"/>
      <c r="AQ196" s="110"/>
      <c r="AR196" s="170"/>
      <c r="AS196" s="417">
        <f t="shared" si="168"/>
        <v>100</v>
      </c>
    </row>
    <row r="197" spans="1:45" ht="22.5" customHeight="1" thickBot="1">
      <c r="A197" s="399" t="s">
        <v>588</v>
      </c>
      <c r="B197" s="182"/>
      <c r="C197" s="182" t="s">
        <v>464</v>
      </c>
      <c r="D197" s="148">
        <f>D202+D205+D200+D203+D201</f>
        <v>3041762.98</v>
      </c>
      <c r="E197" s="148">
        <f>E202+E205+E200+E203+E201</f>
        <v>3041762.98</v>
      </c>
      <c r="F197" s="148">
        <f t="shared" ref="F197:G197" si="189">F202+F205+F200+F203+F201</f>
        <v>254110</v>
      </c>
      <c r="G197" s="148">
        <f t="shared" si="189"/>
        <v>3041762.98</v>
      </c>
      <c r="H197" s="127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  <c r="AA197" s="191"/>
      <c r="AB197" s="191"/>
      <c r="AC197" s="191"/>
      <c r="AD197" s="191"/>
      <c r="AE197" s="191"/>
      <c r="AF197" s="191"/>
      <c r="AG197" s="316">
        <f t="shared" si="145"/>
        <v>0</v>
      </c>
      <c r="AH197" s="315">
        <f t="shared" si="142"/>
        <v>254110</v>
      </c>
      <c r="AI197" s="131"/>
      <c r="AJ197" s="183">
        <f t="shared" si="184"/>
        <v>3041762.98</v>
      </c>
      <c r="AK197" s="181">
        <f t="shared" si="174"/>
        <v>0</v>
      </c>
      <c r="AL197" s="175">
        <f t="shared" si="175"/>
        <v>0</v>
      </c>
      <c r="AM197" s="133"/>
      <c r="AN197" s="110"/>
      <c r="AO197" s="110"/>
      <c r="AP197" s="110"/>
      <c r="AQ197" s="110"/>
      <c r="AR197" s="170">
        <f>AM197+AN197+AO197+AP197+AQ197</f>
        <v>0</v>
      </c>
      <c r="AS197" s="417">
        <f t="shared" si="168"/>
        <v>100</v>
      </c>
    </row>
    <row r="198" spans="1:45" ht="11.45" customHeight="1" thickBot="1">
      <c r="A198" s="426"/>
      <c r="B198" s="146"/>
      <c r="C198" s="146" t="s">
        <v>132</v>
      </c>
      <c r="D198" s="147"/>
      <c r="E198" s="147"/>
      <c r="F198" s="147"/>
      <c r="G198" s="147"/>
      <c r="H198" s="147"/>
      <c r="I198" s="320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  <c r="AC198" s="191"/>
      <c r="AD198" s="191"/>
      <c r="AE198" s="191"/>
      <c r="AF198" s="191"/>
      <c r="AG198" s="316">
        <f t="shared" si="145"/>
        <v>0</v>
      </c>
      <c r="AH198" s="315">
        <f t="shared" si="142"/>
        <v>0</v>
      </c>
      <c r="AI198" s="131"/>
      <c r="AJ198" s="131"/>
      <c r="AK198" s="181"/>
      <c r="AL198" s="175"/>
      <c r="AM198" s="133"/>
      <c r="AN198" s="110"/>
      <c r="AO198" s="110"/>
      <c r="AP198" s="110"/>
      <c r="AQ198" s="110"/>
      <c r="AR198" s="170">
        <f>AM198+AN198+AO198+AP198+AQ198</f>
        <v>0</v>
      </c>
      <c r="AS198" s="417" t="e">
        <f t="shared" si="168"/>
        <v>#DIV/0!</v>
      </c>
    </row>
    <row r="199" spans="1:45" s="109" customFormat="1" ht="0.6" hidden="1" customHeight="1" thickBot="1">
      <c r="A199" s="425" t="s">
        <v>139</v>
      </c>
      <c r="B199" s="146"/>
      <c r="C199" s="146" t="s">
        <v>465</v>
      </c>
      <c r="D199" s="147"/>
      <c r="E199" s="147"/>
      <c r="F199" s="147">
        <v>3430720</v>
      </c>
      <c r="G199" s="147"/>
      <c r="H199" s="147"/>
      <c r="I199" s="320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  <c r="AA199" s="191"/>
      <c r="AB199" s="191"/>
      <c r="AC199" s="191"/>
      <c r="AD199" s="191"/>
      <c r="AE199" s="191"/>
      <c r="AF199" s="191"/>
      <c r="AG199" s="316">
        <f t="shared" si="145"/>
        <v>0</v>
      </c>
      <c r="AH199" s="315">
        <f t="shared" si="142"/>
        <v>3430720</v>
      </c>
      <c r="AI199" s="131"/>
      <c r="AJ199" s="131">
        <f t="shared" ref="AJ199:AJ205" si="190">G199</f>
        <v>0</v>
      </c>
      <c r="AK199" s="181">
        <f t="shared" ref="AK199:AK207" si="191">D199-AJ199</f>
        <v>0</v>
      </c>
      <c r="AL199" s="175">
        <f t="shared" ref="AL199:AL207" si="192">E199-AJ199</f>
        <v>0</v>
      </c>
      <c r="AM199" s="133"/>
      <c r="AN199" s="110"/>
      <c r="AO199" s="110"/>
      <c r="AP199" s="110"/>
      <c r="AQ199" s="110"/>
      <c r="AR199" s="170">
        <f>AM199+AN199+AO199+AP199+AQ199</f>
        <v>0</v>
      </c>
      <c r="AS199" s="417" t="e">
        <f t="shared" si="168"/>
        <v>#DIV/0!</v>
      </c>
    </row>
    <row r="200" spans="1:45" ht="15" customHeight="1" thickBot="1">
      <c r="A200" s="461" t="s">
        <v>674</v>
      </c>
      <c r="B200" s="462"/>
      <c r="C200" s="462" t="s">
        <v>324</v>
      </c>
      <c r="D200" s="463">
        <v>50000</v>
      </c>
      <c r="E200" s="463">
        <v>50000</v>
      </c>
      <c r="F200" s="463">
        <v>0</v>
      </c>
      <c r="G200" s="463">
        <v>50000</v>
      </c>
      <c r="H200" s="463"/>
      <c r="I200" s="464"/>
      <c r="J200" s="465"/>
      <c r="K200" s="465"/>
      <c r="L200" s="465"/>
      <c r="M200" s="465"/>
      <c r="N200" s="465"/>
      <c r="O200" s="465"/>
      <c r="P200" s="465"/>
      <c r="Q200" s="465"/>
      <c r="R200" s="465"/>
      <c r="S200" s="465"/>
      <c r="T200" s="465"/>
      <c r="U200" s="465"/>
      <c r="V200" s="465"/>
      <c r="W200" s="465"/>
      <c r="X200" s="465"/>
      <c r="Y200" s="465"/>
      <c r="Z200" s="465"/>
      <c r="AA200" s="465"/>
      <c r="AB200" s="465"/>
      <c r="AC200" s="465"/>
      <c r="AD200" s="465"/>
      <c r="AE200" s="465"/>
      <c r="AF200" s="465"/>
      <c r="AG200" s="466">
        <f t="shared" si="145"/>
        <v>0</v>
      </c>
      <c r="AH200" s="467">
        <f t="shared" si="142"/>
        <v>0</v>
      </c>
      <c r="AI200" s="468"/>
      <c r="AJ200" s="468">
        <f t="shared" si="190"/>
        <v>50000</v>
      </c>
      <c r="AK200" s="469">
        <f t="shared" si="191"/>
        <v>0</v>
      </c>
      <c r="AL200" s="470">
        <f t="shared" si="192"/>
        <v>0</v>
      </c>
      <c r="AM200" s="133"/>
      <c r="AN200" s="110"/>
      <c r="AO200" s="110"/>
      <c r="AP200" s="110"/>
      <c r="AQ200" s="110"/>
      <c r="AR200" s="170"/>
      <c r="AS200" s="417">
        <f t="shared" si="168"/>
        <v>100</v>
      </c>
    </row>
    <row r="201" spans="1:45" ht="15" customHeight="1" thickBot="1">
      <c r="A201" s="461" t="s">
        <v>17</v>
      </c>
      <c r="B201" s="462"/>
      <c r="C201" s="462" t="s">
        <v>1038</v>
      </c>
      <c r="D201" s="463">
        <v>5200</v>
      </c>
      <c r="E201" s="463">
        <v>5200</v>
      </c>
      <c r="F201" s="463"/>
      <c r="G201" s="463">
        <v>5200</v>
      </c>
      <c r="H201" s="463"/>
      <c r="I201" s="464"/>
      <c r="J201" s="465"/>
      <c r="K201" s="465"/>
      <c r="L201" s="465"/>
      <c r="M201" s="465"/>
      <c r="N201" s="465"/>
      <c r="O201" s="465"/>
      <c r="P201" s="465"/>
      <c r="Q201" s="465"/>
      <c r="R201" s="465"/>
      <c r="S201" s="465"/>
      <c r="T201" s="465"/>
      <c r="U201" s="465"/>
      <c r="V201" s="465"/>
      <c r="W201" s="465"/>
      <c r="X201" s="465"/>
      <c r="Y201" s="465"/>
      <c r="Z201" s="465"/>
      <c r="AA201" s="465"/>
      <c r="AB201" s="465"/>
      <c r="AC201" s="465"/>
      <c r="AD201" s="465"/>
      <c r="AE201" s="465"/>
      <c r="AF201" s="465"/>
      <c r="AG201" s="466"/>
      <c r="AH201" s="467"/>
      <c r="AI201" s="468"/>
      <c r="AJ201" s="468">
        <f>G201</f>
        <v>5200</v>
      </c>
      <c r="AK201" s="469">
        <f>D201-G201</f>
        <v>0</v>
      </c>
      <c r="AL201" s="470">
        <f>E201-G201</f>
        <v>0</v>
      </c>
      <c r="AM201" s="133"/>
      <c r="AN201" s="110"/>
      <c r="AO201" s="110"/>
      <c r="AP201" s="110"/>
      <c r="AQ201" s="110"/>
      <c r="AR201" s="170"/>
    </row>
    <row r="202" spans="1:45" ht="15" customHeight="1" thickBot="1">
      <c r="A202" s="425" t="s">
        <v>139</v>
      </c>
      <c r="B202" s="146"/>
      <c r="C202" s="146" t="s">
        <v>520</v>
      </c>
      <c r="D202" s="147">
        <v>2919914.98</v>
      </c>
      <c r="E202" s="147">
        <v>2919914.98</v>
      </c>
      <c r="F202" s="147">
        <v>99350</v>
      </c>
      <c r="G202" s="147">
        <f>2527427.66+392487.32</f>
        <v>2919914.98</v>
      </c>
      <c r="H202" s="147"/>
      <c r="I202" s="320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  <c r="AA202" s="191"/>
      <c r="AB202" s="191"/>
      <c r="AC202" s="191"/>
      <c r="AD202" s="191"/>
      <c r="AE202" s="191"/>
      <c r="AF202" s="191"/>
      <c r="AG202" s="316">
        <f t="shared" si="145"/>
        <v>0</v>
      </c>
      <c r="AH202" s="315">
        <f t="shared" si="142"/>
        <v>99350</v>
      </c>
      <c r="AI202" s="131"/>
      <c r="AJ202" s="131">
        <f t="shared" si="190"/>
        <v>2919914.98</v>
      </c>
      <c r="AK202" s="181">
        <f t="shared" si="191"/>
        <v>0</v>
      </c>
      <c r="AL202" s="175">
        <f t="shared" si="192"/>
        <v>0</v>
      </c>
      <c r="AM202" s="133"/>
      <c r="AN202" s="110"/>
      <c r="AO202" s="110"/>
      <c r="AP202" s="110"/>
      <c r="AQ202" s="110"/>
      <c r="AR202" s="170"/>
      <c r="AS202" s="417">
        <f t="shared" si="168"/>
        <v>100</v>
      </c>
    </row>
    <row r="203" spans="1:45" s="186" customFormat="1" ht="15.6" hidden="1" customHeight="1" thickBot="1">
      <c r="A203" s="425" t="s">
        <v>140</v>
      </c>
      <c r="B203" s="146"/>
      <c r="C203" s="146" t="s">
        <v>466</v>
      </c>
      <c r="D203" s="147">
        <v>0</v>
      </c>
      <c r="E203" s="147">
        <v>0</v>
      </c>
      <c r="F203" s="147">
        <v>94760</v>
      </c>
      <c r="G203" s="147">
        <v>0</v>
      </c>
      <c r="H203" s="147"/>
      <c r="I203" s="320"/>
      <c r="J203" s="191"/>
      <c r="K203" s="191"/>
      <c r="L203" s="191"/>
      <c r="M203" s="191"/>
      <c r="N203" s="191"/>
      <c r="O203" s="191"/>
      <c r="P203" s="191">
        <v>94760</v>
      </c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  <c r="AB203" s="191"/>
      <c r="AC203" s="191"/>
      <c r="AD203" s="191"/>
      <c r="AE203" s="191"/>
      <c r="AF203" s="191"/>
      <c r="AG203" s="316">
        <f t="shared" si="145"/>
        <v>94760</v>
      </c>
      <c r="AH203" s="315">
        <f t="shared" si="142"/>
        <v>189520</v>
      </c>
      <c r="AI203" s="147"/>
      <c r="AJ203" s="131">
        <f t="shared" si="190"/>
        <v>0</v>
      </c>
      <c r="AK203" s="181">
        <f t="shared" si="191"/>
        <v>0</v>
      </c>
      <c r="AL203" s="175">
        <f t="shared" si="192"/>
        <v>0</v>
      </c>
      <c r="AM203" s="162"/>
      <c r="AN203" s="157"/>
      <c r="AO203" s="157"/>
      <c r="AP203" s="157"/>
      <c r="AQ203" s="157"/>
      <c r="AR203" s="185"/>
      <c r="AS203" s="417" t="e">
        <f t="shared" si="168"/>
        <v>#DIV/0!</v>
      </c>
    </row>
    <row r="204" spans="1:45" s="186" customFormat="1" ht="0.75" hidden="1" customHeight="1" thickBot="1">
      <c r="A204" s="431" t="s">
        <v>143</v>
      </c>
      <c r="B204" s="146"/>
      <c r="C204" s="146" t="s">
        <v>150</v>
      </c>
      <c r="D204" s="147"/>
      <c r="E204" s="147"/>
      <c r="F204" s="147"/>
      <c r="G204" s="147"/>
      <c r="H204" s="147"/>
      <c r="I204" s="320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  <c r="AB204" s="191"/>
      <c r="AC204" s="191"/>
      <c r="AD204" s="191"/>
      <c r="AE204" s="191"/>
      <c r="AF204" s="191"/>
      <c r="AG204" s="316">
        <f t="shared" si="145"/>
        <v>0</v>
      </c>
      <c r="AH204" s="315">
        <f t="shared" si="142"/>
        <v>0</v>
      </c>
      <c r="AI204" s="147"/>
      <c r="AJ204" s="131">
        <f t="shared" si="190"/>
        <v>0</v>
      </c>
      <c r="AK204" s="181">
        <f t="shared" si="191"/>
        <v>0</v>
      </c>
      <c r="AL204" s="175">
        <f t="shared" si="192"/>
        <v>0</v>
      </c>
      <c r="AM204" s="162"/>
      <c r="AN204" s="157"/>
      <c r="AO204" s="157"/>
      <c r="AP204" s="157"/>
      <c r="AQ204" s="157"/>
      <c r="AR204" s="185"/>
      <c r="AS204" s="417" t="e">
        <f t="shared" si="168"/>
        <v>#DIV/0!</v>
      </c>
    </row>
    <row r="205" spans="1:45" s="186" customFormat="1" ht="18.95" customHeight="1" thickBot="1">
      <c r="A205" s="431" t="s">
        <v>144</v>
      </c>
      <c r="B205" s="146"/>
      <c r="C205" s="146" t="s">
        <v>780</v>
      </c>
      <c r="D205" s="147">
        <f>D206</f>
        <v>66648</v>
      </c>
      <c r="E205" s="147">
        <f>E206</f>
        <v>66648</v>
      </c>
      <c r="F205" s="147">
        <f>F206</f>
        <v>60000</v>
      </c>
      <c r="G205" s="147">
        <f>G206</f>
        <v>66648</v>
      </c>
      <c r="H205" s="147"/>
      <c r="I205" s="320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  <c r="AB205" s="191"/>
      <c r="AC205" s="191"/>
      <c r="AD205" s="191"/>
      <c r="AE205" s="191"/>
      <c r="AF205" s="191"/>
      <c r="AG205" s="316">
        <f t="shared" si="145"/>
        <v>0</v>
      </c>
      <c r="AH205" s="315">
        <f t="shared" si="142"/>
        <v>60000</v>
      </c>
      <c r="AI205" s="147"/>
      <c r="AJ205" s="131">
        <f t="shared" si="190"/>
        <v>66648</v>
      </c>
      <c r="AK205" s="181">
        <f t="shared" si="191"/>
        <v>0</v>
      </c>
      <c r="AL205" s="175">
        <f t="shared" si="192"/>
        <v>0</v>
      </c>
      <c r="AM205" s="162"/>
      <c r="AN205" s="157"/>
      <c r="AO205" s="157"/>
      <c r="AP205" s="157"/>
      <c r="AQ205" s="157"/>
      <c r="AR205" s="185"/>
      <c r="AS205" s="417">
        <f t="shared" si="168"/>
        <v>100</v>
      </c>
    </row>
    <row r="206" spans="1:45" s="186" customFormat="1" ht="16.5" customHeight="1" thickBot="1">
      <c r="A206" s="431" t="s">
        <v>901</v>
      </c>
      <c r="B206" s="146"/>
      <c r="C206" s="146" t="s">
        <v>900</v>
      </c>
      <c r="D206" s="147">
        <v>66648</v>
      </c>
      <c r="E206" s="147">
        <v>66648</v>
      </c>
      <c r="F206" s="147">
        <v>60000</v>
      </c>
      <c r="G206" s="147">
        <f>46648+20000</f>
        <v>66648</v>
      </c>
      <c r="H206" s="147"/>
      <c r="I206" s="320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1"/>
      <c r="AD206" s="191"/>
      <c r="AE206" s="191"/>
      <c r="AF206" s="191"/>
      <c r="AG206" s="316">
        <f t="shared" ref="AG206" si="193">SUM(I206:AF206)</f>
        <v>0</v>
      </c>
      <c r="AH206" s="315">
        <f t="shared" ref="AH206" si="194">F206+AG206</f>
        <v>60000</v>
      </c>
      <c r="AI206" s="147"/>
      <c r="AJ206" s="131">
        <f t="shared" ref="AJ206" si="195">G206</f>
        <v>66648</v>
      </c>
      <c r="AK206" s="181">
        <f t="shared" ref="AK206" si="196">D206-AJ206</f>
        <v>0</v>
      </c>
      <c r="AL206" s="175">
        <f t="shared" ref="AL206" si="197">E206-AJ206</f>
        <v>0</v>
      </c>
      <c r="AM206" s="162"/>
      <c r="AN206" s="157"/>
      <c r="AO206" s="157"/>
      <c r="AP206" s="157"/>
      <c r="AQ206" s="157"/>
      <c r="AR206" s="185"/>
      <c r="AS206" s="417">
        <f t="shared" ref="AS206" si="198">G206/E206*100</f>
        <v>100</v>
      </c>
    </row>
    <row r="207" spans="1:45" ht="17.25" hidden="1" customHeight="1" thickBot="1">
      <c r="A207" s="399" t="s">
        <v>805</v>
      </c>
      <c r="B207" s="182"/>
      <c r="C207" s="182" t="s">
        <v>806</v>
      </c>
      <c r="D207" s="148">
        <f>D209</f>
        <v>0</v>
      </c>
      <c r="E207" s="148">
        <f>E209</f>
        <v>0</v>
      </c>
      <c r="F207" s="148">
        <f>F209</f>
        <v>0</v>
      </c>
      <c r="G207" s="148">
        <f>G209</f>
        <v>0</v>
      </c>
      <c r="H207" s="127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91"/>
      <c r="AE207" s="191"/>
      <c r="AF207" s="191"/>
      <c r="AG207" s="316">
        <f t="shared" si="145"/>
        <v>0</v>
      </c>
      <c r="AH207" s="315">
        <f t="shared" ref="AH207:AH262" si="199">F207+AG207</f>
        <v>0</v>
      </c>
      <c r="AI207" s="131"/>
      <c r="AJ207" s="183">
        <f>G207</f>
        <v>0</v>
      </c>
      <c r="AK207" s="181">
        <f t="shared" si="191"/>
        <v>0</v>
      </c>
      <c r="AL207" s="175">
        <f t="shared" si="192"/>
        <v>0</v>
      </c>
      <c r="AM207" s="133"/>
      <c r="AN207" s="110"/>
      <c r="AO207" s="110"/>
      <c r="AP207" s="110"/>
      <c r="AQ207" s="110"/>
      <c r="AR207" s="170">
        <f t="shared" ref="AR207:AR211" si="200">AM207+AN207+AO207+AP207+AQ207</f>
        <v>0</v>
      </c>
      <c r="AS207" s="417" t="e">
        <f t="shared" si="168"/>
        <v>#DIV/0!</v>
      </c>
    </row>
    <row r="208" spans="1:45" ht="16.5" hidden="1" customHeight="1" thickBot="1">
      <c r="A208" s="426"/>
      <c r="B208" s="146"/>
      <c r="C208" s="146" t="s">
        <v>132</v>
      </c>
      <c r="D208" s="147"/>
      <c r="E208" s="147"/>
      <c r="F208" s="147"/>
      <c r="G208" s="147"/>
      <c r="H208" s="147"/>
      <c r="I208" s="320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1"/>
      <c r="AD208" s="191"/>
      <c r="AE208" s="191"/>
      <c r="AF208" s="191"/>
      <c r="AG208" s="316">
        <f t="shared" ref="AG208:AG264" si="201">SUM(I208:AF208)</f>
        <v>0</v>
      </c>
      <c r="AH208" s="315">
        <f t="shared" si="199"/>
        <v>0</v>
      </c>
      <c r="AI208" s="131"/>
      <c r="AJ208" s="131"/>
      <c r="AK208" s="181"/>
      <c r="AL208" s="175"/>
      <c r="AM208" s="133"/>
      <c r="AN208" s="110"/>
      <c r="AO208" s="110"/>
      <c r="AP208" s="110"/>
      <c r="AQ208" s="110"/>
      <c r="AR208" s="170">
        <f t="shared" si="200"/>
        <v>0</v>
      </c>
      <c r="AS208" s="417" t="e">
        <f t="shared" si="168"/>
        <v>#DIV/0!</v>
      </c>
    </row>
    <row r="209" spans="1:45" ht="16.5" hidden="1" customHeight="1" thickBot="1">
      <c r="A209" s="426" t="s">
        <v>133</v>
      </c>
      <c r="B209" s="146"/>
      <c r="C209" s="146" t="s">
        <v>810</v>
      </c>
      <c r="D209" s="147">
        <f t="shared" ref="D209:G210" si="202">D210</f>
        <v>0</v>
      </c>
      <c r="E209" s="147">
        <f t="shared" si="202"/>
        <v>0</v>
      </c>
      <c r="F209" s="147">
        <f t="shared" si="202"/>
        <v>0</v>
      </c>
      <c r="G209" s="147">
        <f t="shared" si="202"/>
        <v>0</v>
      </c>
      <c r="H209" s="147"/>
      <c r="I209" s="320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1"/>
      <c r="AD209" s="191"/>
      <c r="AE209" s="191"/>
      <c r="AF209" s="191"/>
      <c r="AG209" s="316">
        <f t="shared" si="201"/>
        <v>0</v>
      </c>
      <c r="AH209" s="315">
        <f t="shared" si="199"/>
        <v>0</v>
      </c>
      <c r="AI209" s="131"/>
      <c r="AJ209" s="131">
        <f>G209</f>
        <v>0</v>
      </c>
      <c r="AK209" s="181">
        <f>D209-AJ209</f>
        <v>0</v>
      </c>
      <c r="AL209" s="175">
        <f>E209-AJ209</f>
        <v>0</v>
      </c>
      <c r="AM209" s="133"/>
      <c r="AN209" s="110"/>
      <c r="AO209" s="110"/>
      <c r="AP209" s="110"/>
      <c r="AQ209" s="110"/>
      <c r="AR209" s="170">
        <f t="shared" si="200"/>
        <v>0</v>
      </c>
      <c r="AS209" s="417" t="e">
        <f t="shared" si="168"/>
        <v>#DIV/0!</v>
      </c>
    </row>
    <row r="210" spans="1:45" ht="23.25" hidden="1" customHeight="1" thickBot="1">
      <c r="A210" s="426" t="s">
        <v>136</v>
      </c>
      <c r="B210" s="146"/>
      <c r="C210" s="146" t="s">
        <v>811</v>
      </c>
      <c r="D210" s="147">
        <f t="shared" si="202"/>
        <v>0</v>
      </c>
      <c r="E210" s="147">
        <f t="shared" si="202"/>
        <v>0</v>
      </c>
      <c r="F210" s="147">
        <f t="shared" si="202"/>
        <v>0</v>
      </c>
      <c r="G210" s="147">
        <f t="shared" si="202"/>
        <v>0</v>
      </c>
      <c r="H210" s="147"/>
      <c r="I210" s="320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316">
        <f t="shared" si="201"/>
        <v>0</v>
      </c>
      <c r="AH210" s="315">
        <f t="shared" si="199"/>
        <v>0</v>
      </c>
      <c r="AI210" s="131"/>
      <c r="AJ210" s="131">
        <f>G210</f>
        <v>0</v>
      </c>
      <c r="AK210" s="181">
        <f>D210-AJ210</f>
        <v>0</v>
      </c>
      <c r="AL210" s="175">
        <f>E210-AJ210</f>
        <v>0</v>
      </c>
      <c r="AM210" s="133"/>
      <c r="AN210" s="110"/>
      <c r="AO210" s="110"/>
      <c r="AP210" s="110"/>
      <c r="AQ210" s="110"/>
      <c r="AR210" s="170">
        <f t="shared" si="200"/>
        <v>0</v>
      </c>
      <c r="AS210" s="417" t="e">
        <f t="shared" si="168"/>
        <v>#DIV/0!</v>
      </c>
    </row>
    <row r="211" spans="1:45" s="109" customFormat="1" ht="22.5" hidden="1" customHeight="1" thickBot="1">
      <c r="A211" s="426" t="s">
        <v>689</v>
      </c>
      <c r="B211" s="146"/>
      <c r="C211" s="146" t="s">
        <v>812</v>
      </c>
      <c r="D211" s="147"/>
      <c r="E211" s="147"/>
      <c r="F211" s="147"/>
      <c r="G211" s="147"/>
      <c r="H211" s="147"/>
      <c r="I211" s="320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316">
        <f t="shared" si="201"/>
        <v>0</v>
      </c>
      <c r="AH211" s="315">
        <f t="shared" si="199"/>
        <v>0</v>
      </c>
      <c r="AI211" s="131"/>
      <c r="AJ211" s="131">
        <f>G211</f>
        <v>0</v>
      </c>
      <c r="AK211" s="181">
        <f>D211-AJ211</f>
        <v>0</v>
      </c>
      <c r="AL211" s="175">
        <f>E211-AJ211</f>
        <v>0</v>
      </c>
      <c r="AM211" s="133"/>
      <c r="AN211" s="110"/>
      <c r="AO211" s="110"/>
      <c r="AP211" s="110"/>
      <c r="AQ211" s="110"/>
      <c r="AR211" s="170">
        <f t="shared" si="200"/>
        <v>0</v>
      </c>
      <c r="AS211" s="417" t="e">
        <f t="shared" si="168"/>
        <v>#DIV/0!</v>
      </c>
    </row>
    <row r="212" spans="1:45" ht="21" customHeight="1" thickBot="1">
      <c r="A212" s="399" t="s">
        <v>936</v>
      </c>
      <c r="B212" s="182"/>
      <c r="C212" s="182" t="s">
        <v>935</v>
      </c>
      <c r="D212" s="148">
        <f>D214</f>
        <v>2959942.02</v>
      </c>
      <c r="E212" s="148">
        <f>E214</f>
        <v>2959942.02</v>
      </c>
      <c r="F212" s="148">
        <f>F214</f>
        <v>0</v>
      </c>
      <c r="G212" s="148">
        <f>G214</f>
        <v>2959942.02</v>
      </c>
      <c r="H212" s="127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  <c r="AC212" s="191"/>
      <c r="AD212" s="191"/>
      <c r="AE212" s="191"/>
      <c r="AF212" s="191"/>
      <c r="AG212" s="316">
        <f t="shared" si="201"/>
        <v>0</v>
      </c>
      <c r="AH212" s="315">
        <f t="shared" ref="AH212:AH216" si="203">F212+AG212</f>
        <v>0</v>
      </c>
      <c r="AI212" s="131"/>
      <c r="AJ212" s="183">
        <f>G212</f>
        <v>2959942.02</v>
      </c>
      <c r="AK212" s="181">
        <f t="shared" ref="AK212" si="204">D212-AJ212</f>
        <v>0</v>
      </c>
      <c r="AL212" s="175">
        <f t="shared" ref="AL212" si="205">E212-AJ212</f>
        <v>0</v>
      </c>
      <c r="AM212" s="133"/>
      <c r="AN212" s="110"/>
      <c r="AO212" s="110"/>
      <c r="AP212" s="110"/>
      <c r="AQ212" s="110"/>
      <c r="AR212" s="170">
        <f t="shared" ref="AR212:AR216" si="206">AM212+AN212+AO212+AP212+AQ212</f>
        <v>0</v>
      </c>
      <c r="AS212" s="417">
        <f t="shared" si="168"/>
        <v>100</v>
      </c>
    </row>
    <row r="213" spans="1:45" ht="10.5" customHeight="1" thickBot="1">
      <c r="A213" s="426"/>
      <c r="B213" s="146"/>
      <c r="C213" s="146" t="s">
        <v>132</v>
      </c>
      <c r="D213" s="147"/>
      <c r="E213" s="147"/>
      <c r="F213" s="147"/>
      <c r="G213" s="147"/>
      <c r="H213" s="147"/>
      <c r="I213" s="320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  <c r="AD213" s="191"/>
      <c r="AE213" s="191"/>
      <c r="AF213" s="191"/>
      <c r="AG213" s="316">
        <f t="shared" ref="AG213:AG217" si="207">SUM(I213:AF213)</f>
        <v>0</v>
      </c>
      <c r="AH213" s="315">
        <f t="shared" si="203"/>
        <v>0</v>
      </c>
      <c r="AI213" s="131"/>
      <c r="AJ213" s="131"/>
      <c r="AK213" s="181"/>
      <c r="AL213" s="175"/>
      <c r="AM213" s="133"/>
      <c r="AN213" s="110"/>
      <c r="AO213" s="110"/>
      <c r="AP213" s="110"/>
      <c r="AQ213" s="110"/>
      <c r="AR213" s="170">
        <f t="shared" si="206"/>
        <v>0</v>
      </c>
      <c r="AS213" s="417" t="e">
        <f t="shared" si="168"/>
        <v>#DIV/0!</v>
      </c>
    </row>
    <row r="214" spans="1:45" ht="14.25" customHeight="1" thickBot="1">
      <c r="A214" s="426" t="s">
        <v>133</v>
      </c>
      <c r="B214" s="146"/>
      <c r="C214" s="146" t="s">
        <v>932</v>
      </c>
      <c r="D214" s="147">
        <f t="shared" ref="D214:G215" si="208">D215</f>
        <v>2959942.02</v>
      </c>
      <c r="E214" s="147">
        <f t="shared" si="208"/>
        <v>2959942.02</v>
      </c>
      <c r="F214" s="147">
        <f t="shared" si="208"/>
        <v>0</v>
      </c>
      <c r="G214" s="147">
        <f t="shared" si="208"/>
        <v>2959942.02</v>
      </c>
      <c r="H214" s="147"/>
      <c r="I214" s="320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  <c r="AC214" s="191"/>
      <c r="AD214" s="191"/>
      <c r="AE214" s="191"/>
      <c r="AF214" s="191"/>
      <c r="AG214" s="316">
        <f t="shared" si="207"/>
        <v>0</v>
      </c>
      <c r="AH214" s="315">
        <f t="shared" si="203"/>
        <v>0</v>
      </c>
      <c r="AI214" s="131"/>
      <c r="AJ214" s="131">
        <f>G214</f>
        <v>2959942.02</v>
      </c>
      <c r="AK214" s="181">
        <f>D214-AJ214</f>
        <v>0</v>
      </c>
      <c r="AL214" s="175">
        <f>E214-AJ214</f>
        <v>0</v>
      </c>
      <c r="AM214" s="133"/>
      <c r="AN214" s="110"/>
      <c r="AO214" s="110"/>
      <c r="AP214" s="110"/>
      <c r="AQ214" s="110"/>
      <c r="AR214" s="170">
        <f t="shared" si="206"/>
        <v>0</v>
      </c>
      <c r="AS214" s="417">
        <f t="shared" si="168"/>
        <v>100</v>
      </c>
    </row>
    <row r="215" spans="1:45" ht="12.75" customHeight="1" thickBot="1">
      <c r="A215" s="426" t="s">
        <v>136</v>
      </c>
      <c r="B215" s="146"/>
      <c r="C215" s="146" t="s">
        <v>933</v>
      </c>
      <c r="D215" s="147">
        <f t="shared" si="208"/>
        <v>2959942.02</v>
      </c>
      <c r="E215" s="147">
        <f t="shared" si="208"/>
        <v>2959942.02</v>
      </c>
      <c r="F215" s="147">
        <f t="shared" si="208"/>
        <v>0</v>
      </c>
      <c r="G215" s="147">
        <f t="shared" si="208"/>
        <v>2959942.02</v>
      </c>
      <c r="H215" s="147"/>
      <c r="I215" s="320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1"/>
      <c r="AD215" s="191"/>
      <c r="AE215" s="191"/>
      <c r="AF215" s="191"/>
      <c r="AG215" s="316">
        <f t="shared" si="207"/>
        <v>0</v>
      </c>
      <c r="AH215" s="315">
        <f t="shared" si="203"/>
        <v>0</v>
      </c>
      <c r="AI215" s="131"/>
      <c r="AJ215" s="131">
        <f>G215</f>
        <v>2959942.02</v>
      </c>
      <c r="AK215" s="181">
        <f>D215-AJ215</f>
        <v>0</v>
      </c>
      <c r="AL215" s="175">
        <f>E215-AJ215</f>
        <v>0</v>
      </c>
      <c r="AM215" s="133"/>
      <c r="AN215" s="110"/>
      <c r="AO215" s="110"/>
      <c r="AP215" s="110"/>
      <c r="AQ215" s="110"/>
      <c r="AR215" s="170">
        <f t="shared" si="206"/>
        <v>0</v>
      </c>
      <c r="AS215" s="417">
        <f t="shared" si="168"/>
        <v>100</v>
      </c>
    </row>
    <row r="216" spans="1:45" s="109" customFormat="1" ht="14.25" customHeight="1" thickBot="1">
      <c r="A216" s="426" t="s">
        <v>689</v>
      </c>
      <c r="B216" s="146"/>
      <c r="C216" s="146" t="s">
        <v>934</v>
      </c>
      <c r="D216" s="147">
        <v>2959942.02</v>
      </c>
      <c r="E216" s="147">
        <v>2959942.02</v>
      </c>
      <c r="F216" s="147"/>
      <c r="G216" s="147">
        <f>191582.78+82106.9+2114233.5+572018.84</f>
        <v>2959942.02</v>
      </c>
      <c r="H216" s="147"/>
      <c r="I216" s="320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  <c r="AA216" s="191"/>
      <c r="AB216" s="191"/>
      <c r="AC216" s="191"/>
      <c r="AD216" s="191"/>
      <c r="AE216" s="191"/>
      <c r="AF216" s="191"/>
      <c r="AG216" s="316">
        <f t="shared" si="207"/>
        <v>0</v>
      </c>
      <c r="AH216" s="315">
        <f t="shared" si="203"/>
        <v>0</v>
      </c>
      <c r="AI216" s="131"/>
      <c r="AJ216" s="131">
        <f>G216</f>
        <v>2959942.02</v>
      </c>
      <c r="AK216" s="181">
        <f>D216-AJ216</f>
        <v>0</v>
      </c>
      <c r="AL216" s="175">
        <f>E216-AJ216</f>
        <v>0</v>
      </c>
      <c r="AM216" s="133"/>
      <c r="AN216" s="110"/>
      <c r="AO216" s="110"/>
      <c r="AP216" s="110"/>
      <c r="AQ216" s="110"/>
      <c r="AR216" s="170">
        <f t="shared" si="206"/>
        <v>0</v>
      </c>
      <c r="AS216" s="417">
        <f t="shared" si="168"/>
        <v>100</v>
      </c>
    </row>
    <row r="217" spans="1:45" ht="35.1" customHeight="1" thickBot="1">
      <c r="A217" s="399" t="s">
        <v>1024</v>
      </c>
      <c r="B217" s="182"/>
      <c r="C217" s="182" t="s">
        <v>1033</v>
      </c>
      <c r="D217" s="148">
        <f>D219</f>
        <v>207569.06</v>
      </c>
      <c r="E217" s="148">
        <f>E219</f>
        <v>207569.06</v>
      </c>
      <c r="F217" s="148">
        <f>F219</f>
        <v>0</v>
      </c>
      <c r="G217" s="148">
        <f>G219</f>
        <v>204122.96000000002</v>
      </c>
      <c r="H217" s="127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  <c r="AC217" s="191"/>
      <c r="AD217" s="191"/>
      <c r="AE217" s="191"/>
      <c r="AF217" s="191"/>
      <c r="AG217" s="316">
        <f t="shared" si="207"/>
        <v>0</v>
      </c>
      <c r="AH217" s="315">
        <f t="shared" ref="AH217:AH221" si="209">F217+AG217</f>
        <v>0</v>
      </c>
      <c r="AI217" s="131"/>
      <c r="AJ217" s="183">
        <f>G217</f>
        <v>204122.96000000002</v>
      </c>
      <c r="AK217" s="181">
        <f t="shared" ref="AK217" si="210">D217-AJ217</f>
        <v>3446.0999999999767</v>
      </c>
      <c r="AL217" s="175">
        <f t="shared" ref="AL217" si="211">E217-AJ217</f>
        <v>3446.0999999999767</v>
      </c>
      <c r="AM217" s="133"/>
      <c r="AN217" s="110"/>
      <c r="AO217" s="110"/>
      <c r="AP217" s="110"/>
      <c r="AQ217" s="110"/>
      <c r="AR217" s="170">
        <f t="shared" ref="AR217:AR221" si="212">AM217+AN217+AO217+AP217+AQ217</f>
        <v>0</v>
      </c>
      <c r="AS217" s="417">
        <f t="shared" si="168"/>
        <v>98.339781468394193</v>
      </c>
    </row>
    <row r="218" spans="1:45" ht="9.75" customHeight="1" thickBot="1">
      <c r="A218" s="426"/>
      <c r="B218" s="146"/>
      <c r="C218" s="146" t="s">
        <v>132</v>
      </c>
      <c r="D218" s="147"/>
      <c r="E218" s="147"/>
      <c r="F218" s="147"/>
      <c r="G218" s="147"/>
      <c r="H218" s="147"/>
      <c r="I218" s="320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  <c r="AA218" s="191"/>
      <c r="AB218" s="191"/>
      <c r="AC218" s="191"/>
      <c r="AD218" s="191"/>
      <c r="AE218" s="191"/>
      <c r="AF218" s="191"/>
      <c r="AG218" s="316">
        <f t="shared" ref="AG218:AG221" si="213">SUM(I218:AF218)</f>
        <v>0</v>
      </c>
      <c r="AH218" s="315">
        <f t="shared" si="209"/>
        <v>0</v>
      </c>
      <c r="AI218" s="131"/>
      <c r="AJ218" s="131"/>
      <c r="AK218" s="181"/>
      <c r="AL218" s="175"/>
      <c r="AM218" s="133"/>
      <c r="AN218" s="110"/>
      <c r="AO218" s="110"/>
      <c r="AP218" s="110"/>
      <c r="AQ218" s="110"/>
      <c r="AR218" s="170">
        <f t="shared" si="212"/>
        <v>0</v>
      </c>
      <c r="AS218" s="417" t="e">
        <f t="shared" si="168"/>
        <v>#DIV/0!</v>
      </c>
    </row>
    <row r="219" spans="1:45" ht="14.25" customHeight="1" thickBot="1">
      <c r="A219" s="426" t="s">
        <v>133</v>
      </c>
      <c r="B219" s="146"/>
      <c r="C219" s="146" t="s">
        <v>1034</v>
      </c>
      <c r="D219" s="147">
        <f t="shared" ref="D219:G220" si="214">D220</f>
        <v>207569.06</v>
      </c>
      <c r="E219" s="147">
        <f t="shared" si="214"/>
        <v>207569.06</v>
      </c>
      <c r="F219" s="147">
        <f t="shared" si="214"/>
        <v>0</v>
      </c>
      <c r="G219" s="147">
        <f t="shared" si="214"/>
        <v>204122.96000000002</v>
      </c>
      <c r="H219" s="147"/>
      <c r="I219" s="320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  <c r="AA219" s="191"/>
      <c r="AB219" s="191"/>
      <c r="AC219" s="191"/>
      <c r="AD219" s="191"/>
      <c r="AE219" s="191"/>
      <c r="AF219" s="191"/>
      <c r="AG219" s="316">
        <f t="shared" si="213"/>
        <v>0</v>
      </c>
      <c r="AH219" s="315">
        <f t="shared" si="209"/>
        <v>0</v>
      </c>
      <c r="AI219" s="131"/>
      <c r="AJ219" s="131">
        <f>G219</f>
        <v>204122.96000000002</v>
      </c>
      <c r="AK219" s="181">
        <f>D219-AJ219</f>
        <v>3446.0999999999767</v>
      </c>
      <c r="AL219" s="175">
        <f>E219-AJ219</f>
        <v>3446.0999999999767</v>
      </c>
      <c r="AM219" s="133"/>
      <c r="AN219" s="110"/>
      <c r="AO219" s="110"/>
      <c r="AP219" s="110"/>
      <c r="AQ219" s="110"/>
      <c r="AR219" s="170">
        <f t="shared" si="212"/>
        <v>0</v>
      </c>
      <c r="AS219" s="417">
        <f t="shared" si="168"/>
        <v>98.339781468394193</v>
      </c>
    </row>
    <row r="220" spans="1:45" ht="14.25" customHeight="1" thickBot="1">
      <c r="A220" s="426" t="s">
        <v>676</v>
      </c>
      <c r="B220" s="146"/>
      <c r="C220" s="146" t="s">
        <v>1035</v>
      </c>
      <c r="D220" s="147">
        <f t="shared" si="214"/>
        <v>207569.06</v>
      </c>
      <c r="E220" s="147">
        <f t="shared" si="214"/>
        <v>207569.06</v>
      </c>
      <c r="F220" s="147">
        <f t="shared" si="214"/>
        <v>0</v>
      </c>
      <c r="G220" s="147">
        <f t="shared" si="214"/>
        <v>204122.96000000002</v>
      </c>
      <c r="H220" s="147"/>
      <c r="I220" s="320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  <c r="AC220" s="191"/>
      <c r="AD220" s="191"/>
      <c r="AE220" s="191"/>
      <c r="AF220" s="191"/>
      <c r="AG220" s="316">
        <f t="shared" si="213"/>
        <v>0</v>
      </c>
      <c r="AH220" s="315">
        <f t="shared" si="209"/>
        <v>0</v>
      </c>
      <c r="AI220" s="131"/>
      <c r="AJ220" s="131">
        <f>G220</f>
        <v>204122.96000000002</v>
      </c>
      <c r="AK220" s="181">
        <f>D220-AJ220</f>
        <v>3446.0999999999767</v>
      </c>
      <c r="AL220" s="175">
        <f>E220-AJ220</f>
        <v>3446.0999999999767</v>
      </c>
      <c r="AM220" s="133"/>
      <c r="AN220" s="110"/>
      <c r="AO220" s="110"/>
      <c r="AP220" s="110"/>
      <c r="AQ220" s="110"/>
      <c r="AR220" s="170">
        <f t="shared" si="212"/>
        <v>0</v>
      </c>
      <c r="AS220" s="417">
        <f t="shared" si="168"/>
        <v>98.339781468394193</v>
      </c>
    </row>
    <row r="221" spans="1:45" s="109" customFormat="1" ht="14.25" customHeight="1" thickBot="1">
      <c r="A221" s="426" t="s">
        <v>841</v>
      </c>
      <c r="B221" s="146"/>
      <c r="C221" s="146" t="s">
        <v>1036</v>
      </c>
      <c r="D221" s="147">
        <v>207569.06</v>
      </c>
      <c r="E221" s="147">
        <v>207569.06</v>
      </c>
      <c r="F221" s="147"/>
      <c r="G221" s="147">
        <f>31818.2+172304.76</f>
        <v>204122.96000000002</v>
      </c>
      <c r="H221" s="147"/>
      <c r="I221" s="320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  <c r="AB221" s="191"/>
      <c r="AC221" s="191"/>
      <c r="AD221" s="191"/>
      <c r="AE221" s="191"/>
      <c r="AF221" s="191"/>
      <c r="AG221" s="316">
        <f t="shared" si="213"/>
        <v>0</v>
      </c>
      <c r="AH221" s="315">
        <f t="shared" si="209"/>
        <v>0</v>
      </c>
      <c r="AI221" s="131"/>
      <c r="AJ221" s="131">
        <f>G221</f>
        <v>204122.96000000002</v>
      </c>
      <c r="AK221" s="181">
        <f>D221-AJ221</f>
        <v>3446.0999999999767</v>
      </c>
      <c r="AL221" s="175">
        <f>E221-AJ221</f>
        <v>3446.0999999999767</v>
      </c>
      <c r="AM221" s="133"/>
      <c r="AN221" s="110"/>
      <c r="AO221" s="110"/>
      <c r="AP221" s="110"/>
      <c r="AQ221" s="110"/>
      <c r="AR221" s="170">
        <f t="shared" si="212"/>
        <v>0</v>
      </c>
      <c r="AS221" s="417">
        <f t="shared" si="168"/>
        <v>98.339781468394193</v>
      </c>
    </row>
    <row r="222" spans="1:45" ht="18" customHeight="1" thickBot="1">
      <c r="A222" s="432" t="s">
        <v>148</v>
      </c>
      <c r="B222" s="230"/>
      <c r="C222" s="235" t="s">
        <v>467</v>
      </c>
      <c r="D222" s="236">
        <f>D223+D234+D237</f>
        <v>6708907.2700000005</v>
      </c>
      <c r="E222" s="236">
        <f>E223+E234+E237</f>
        <v>6708907.2700000005</v>
      </c>
      <c r="F222" s="236" t="e">
        <f t="shared" ref="F222:G222" si="215">F223+F234+F237</f>
        <v>#REF!</v>
      </c>
      <c r="G222" s="236">
        <f t="shared" si="215"/>
        <v>6599194.6200000001</v>
      </c>
      <c r="H222" s="236"/>
      <c r="I222" s="32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  <c r="AA222" s="191"/>
      <c r="AB222" s="191"/>
      <c r="AC222" s="191"/>
      <c r="AD222" s="191"/>
      <c r="AE222" s="191"/>
      <c r="AF222" s="191"/>
      <c r="AG222" s="316">
        <f t="shared" si="201"/>
        <v>0</v>
      </c>
      <c r="AH222" s="315" t="e">
        <f t="shared" si="199"/>
        <v>#REF!</v>
      </c>
      <c r="AI222" s="232"/>
      <c r="AJ222" s="236">
        <f t="shared" ref="AJ222:AJ233" si="216">G222</f>
        <v>6599194.6200000001</v>
      </c>
      <c r="AK222" s="233">
        <f t="shared" ref="AK222:AK252" si="217">D222-AJ222</f>
        <v>109712.65000000037</v>
      </c>
      <c r="AL222" s="234">
        <f t="shared" ref="AL222:AL252" si="218">E222-AJ222</f>
        <v>109712.65000000037</v>
      </c>
      <c r="AM222" s="160"/>
      <c r="AN222" s="116"/>
      <c r="AO222" s="116"/>
      <c r="AP222" s="116"/>
      <c r="AQ222" s="116"/>
      <c r="AR222" s="170">
        <f>AM222+AN222+AO222+AP222+AQ222</f>
        <v>0</v>
      </c>
      <c r="AS222" s="417">
        <f t="shared" si="168"/>
        <v>98.364671837236457</v>
      </c>
    </row>
    <row r="223" spans="1:45" ht="17.25" customHeight="1" thickBot="1">
      <c r="A223" s="424" t="s">
        <v>133</v>
      </c>
      <c r="B223" s="230"/>
      <c r="C223" s="230" t="s">
        <v>396</v>
      </c>
      <c r="D223" s="232">
        <f>D224+D230+D233</f>
        <v>4877878.1400000006</v>
      </c>
      <c r="E223" s="232">
        <f>E224+E230+E233</f>
        <v>4877878.1400000006</v>
      </c>
      <c r="F223" s="232" t="e">
        <f t="shared" ref="F223" si="219">F224+F230+F233</f>
        <v>#REF!</v>
      </c>
      <c r="G223" s="232">
        <f>G224+G230+G233</f>
        <v>4769033.33</v>
      </c>
      <c r="H223" s="232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1"/>
      <c r="AF223" s="131"/>
      <c r="AG223" s="316">
        <f t="shared" si="201"/>
        <v>0</v>
      </c>
      <c r="AH223" s="315" t="e">
        <f t="shared" si="199"/>
        <v>#REF!</v>
      </c>
      <c r="AI223" s="232"/>
      <c r="AJ223" s="232">
        <f t="shared" si="216"/>
        <v>4769033.33</v>
      </c>
      <c r="AK223" s="233">
        <f t="shared" si="217"/>
        <v>108844.81000000052</v>
      </c>
      <c r="AL223" s="234">
        <f t="shared" si="218"/>
        <v>108844.81000000052</v>
      </c>
      <c r="AM223" s="160"/>
      <c r="AN223" s="116"/>
      <c r="AO223" s="116"/>
      <c r="AP223" s="116"/>
      <c r="AQ223" s="116"/>
      <c r="AR223" s="170">
        <f>AM223+AN223+AO223+AP223+AQ223</f>
        <v>0</v>
      </c>
      <c r="AS223" s="417">
        <f t="shared" si="168"/>
        <v>97.768603337843928</v>
      </c>
    </row>
    <row r="224" spans="1:45" ht="15" customHeight="1" thickBot="1">
      <c r="A224" s="424" t="s">
        <v>136</v>
      </c>
      <c r="B224" s="230"/>
      <c r="C224" s="230" t="s">
        <v>397</v>
      </c>
      <c r="D224" s="232">
        <f>D225+D226+D228+D229+D227</f>
        <v>4877878.1400000006</v>
      </c>
      <c r="E224" s="232">
        <f>E225+E226+E228+E229+E227</f>
        <v>4877878.1400000006</v>
      </c>
      <c r="F224" s="232">
        <f>F225+F226+F228+F229+F227</f>
        <v>2538626.1800000002</v>
      </c>
      <c r="G224" s="232">
        <f>G225+G226+G228+G229+G227</f>
        <v>4769033.33</v>
      </c>
      <c r="H224" s="232"/>
      <c r="I224" s="320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  <c r="AB224" s="191"/>
      <c r="AC224" s="191"/>
      <c r="AD224" s="191"/>
      <c r="AE224" s="191"/>
      <c r="AF224" s="191"/>
      <c r="AG224" s="316">
        <f t="shared" si="201"/>
        <v>0</v>
      </c>
      <c r="AH224" s="315">
        <f t="shared" si="199"/>
        <v>2538626.1800000002</v>
      </c>
      <c r="AI224" s="232"/>
      <c r="AJ224" s="232">
        <f t="shared" si="216"/>
        <v>4769033.33</v>
      </c>
      <c r="AK224" s="233">
        <f t="shared" si="217"/>
        <v>108844.81000000052</v>
      </c>
      <c r="AL224" s="234">
        <f t="shared" si="218"/>
        <v>108844.81000000052</v>
      </c>
      <c r="AM224" s="160"/>
      <c r="AN224" s="116"/>
      <c r="AO224" s="116"/>
      <c r="AP224" s="116"/>
      <c r="AQ224" s="116"/>
      <c r="AR224" s="170">
        <f>AM224+AN224+AO224+AP224+AQ224</f>
        <v>0</v>
      </c>
      <c r="AS224" s="417">
        <f t="shared" si="168"/>
        <v>97.768603337843928</v>
      </c>
    </row>
    <row r="225" spans="1:45" ht="14.45" customHeight="1" thickBot="1">
      <c r="A225" s="424" t="s">
        <v>137</v>
      </c>
      <c r="B225" s="230"/>
      <c r="C225" s="230" t="s">
        <v>252</v>
      </c>
      <c r="D225" s="232">
        <f t="shared" ref="D225:G227" si="220">D290</f>
        <v>114540</v>
      </c>
      <c r="E225" s="232">
        <f t="shared" ref="E225" si="221">E290</f>
        <v>114540</v>
      </c>
      <c r="F225" s="232">
        <f t="shared" ref="F225:F227" si="222">F290</f>
        <v>103750</v>
      </c>
      <c r="G225" s="232">
        <f t="shared" si="220"/>
        <v>114540</v>
      </c>
      <c r="H225" s="232"/>
      <c r="I225" s="320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  <c r="AC225" s="191"/>
      <c r="AD225" s="191"/>
      <c r="AE225" s="191"/>
      <c r="AF225" s="191"/>
      <c r="AG225" s="316">
        <f t="shared" si="201"/>
        <v>0</v>
      </c>
      <c r="AH225" s="315">
        <f t="shared" si="199"/>
        <v>103750</v>
      </c>
      <c r="AI225" s="232"/>
      <c r="AJ225" s="232">
        <f t="shared" si="216"/>
        <v>114540</v>
      </c>
      <c r="AK225" s="233">
        <f t="shared" si="217"/>
        <v>0</v>
      </c>
      <c r="AL225" s="234">
        <f t="shared" si="218"/>
        <v>0</v>
      </c>
      <c r="AM225" s="160"/>
      <c r="AN225" s="116"/>
      <c r="AO225" s="116"/>
      <c r="AP225" s="116"/>
      <c r="AQ225" s="116"/>
      <c r="AR225" s="170"/>
      <c r="AS225" s="417">
        <f t="shared" si="168"/>
        <v>100</v>
      </c>
    </row>
    <row r="226" spans="1:45" ht="15" customHeight="1" thickBot="1">
      <c r="A226" s="424" t="s">
        <v>138</v>
      </c>
      <c r="B226" s="230"/>
      <c r="C226" s="230" t="s">
        <v>398</v>
      </c>
      <c r="D226" s="232">
        <f t="shared" si="220"/>
        <v>1060000</v>
      </c>
      <c r="E226" s="232">
        <f t="shared" ref="E226" si="223">E291</f>
        <v>1060000</v>
      </c>
      <c r="F226" s="232">
        <f t="shared" si="222"/>
        <v>333714.15000000002</v>
      </c>
      <c r="G226" s="232">
        <f t="shared" si="220"/>
        <v>954689.69000000006</v>
      </c>
      <c r="H226" s="232"/>
      <c r="I226" s="320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  <c r="AA226" s="191"/>
      <c r="AB226" s="191"/>
      <c r="AC226" s="191"/>
      <c r="AD226" s="191"/>
      <c r="AE226" s="191"/>
      <c r="AF226" s="191"/>
      <c r="AG226" s="316">
        <f t="shared" si="201"/>
        <v>0</v>
      </c>
      <c r="AH226" s="315">
        <f t="shared" si="199"/>
        <v>333714.15000000002</v>
      </c>
      <c r="AI226" s="232"/>
      <c r="AJ226" s="232">
        <f t="shared" si="216"/>
        <v>954689.69000000006</v>
      </c>
      <c r="AK226" s="233">
        <f t="shared" si="217"/>
        <v>105310.30999999994</v>
      </c>
      <c r="AL226" s="234">
        <f t="shared" si="218"/>
        <v>105310.30999999994</v>
      </c>
      <c r="AM226" s="160"/>
      <c r="AN226" s="116"/>
      <c r="AO226" s="116"/>
      <c r="AP226" s="116"/>
      <c r="AQ226" s="116"/>
      <c r="AR226" s="170">
        <f>AM226+AN226+AO226+AP226+AQ226</f>
        <v>0</v>
      </c>
      <c r="AS226" s="417">
        <f t="shared" si="168"/>
        <v>90.06506509433963</v>
      </c>
    </row>
    <row r="227" spans="1:45" ht="15" hidden="1" customHeight="1" thickBot="1">
      <c r="A227" s="424" t="s">
        <v>682</v>
      </c>
      <c r="B227" s="230"/>
      <c r="C227" s="230" t="s">
        <v>153</v>
      </c>
      <c r="D227" s="232">
        <f t="shared" si="220"/>
        <v>0</v>
      </c>
      <c r="E227" s="232">
        <f t="shared" ref="E227" si="224">E292</f>
        <v>0</v>
      </c>
      <c r="F227" s="232">
        <f t="shared" si="222"/>
        <v>0</v>
      </c>
      <c r="G227" s="232">
        <f t="shared" si="220"/>
        <v>0</v>
      </c>
      <c r="H227" s="232"/>
      <c r="I227" s="320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316">
        <f t="shared" si="201"/>
        <v>0</v>
      </c>
      <c r="AH227" s="315">
        <f t="shared" si="199"/>
        <v>0</v>
      </c>
      <c r="AI227" s="232"/>
      <c r="AJ227" s="232">
        <f t="shared" si="216"/>
        <v>0</v>
      </c>
      <c r="AK227" s="233">
        <f t="shared" si="217"/>
        <v>0</v>
      </c>
      <c r="AL227" s="234">
        <f t="shared" si="218"/>
        <v>0</v>
      </c>
      <c r="AM227" s="160"/>
      <c r="AN227" s="116"/>
      <c r="AO227" s="116"/>
      <c r="AP227" s="116"/>
      <c r="AQ227" s="116"/>
      <c r="AR227" s="170"/>
      <c r="AS227" s="417" t="e">
        <f t="shared" si="168"/>
        <v>#DIV/0!</v>
      </c>
    </row>
    <row r="228" spans="1:45" ht="15" customHeight="1" thickBot="1">
      <c r="A228" s="424" t="s">
        <v>139</v>
      </c>
      <c r="B228" s="230"/>
      <c r="C228" s="230" t="s">
        <v>399</v>
      </c>
      <c r="D228" s="232">
        <f>D243+D293+D260</f>
        <v>3313322.14</v>
      </c>
      <c r="E228" s="232">
        <f>E243+E293+E260</f>
        <v>3313322.14</v>
      </c>
      <c r="F228" s="232">
        <f t="shared" ref="F228" si="225">F243+F293+F260</f>
        <v>1193506.3800000001</v>
      </c>
      <c r="G228" s="232">
        <f>G243+G293+G260</f>
        <v>3309788.04</v>
      </c>
      <c r="H228" s="232"/>
      <c r="I228" s="320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316">
        <f t="shared" si="201"/>
        <v>0</v>
      </c>
      <c r="AH228" s="315">
        <f t="shared" si="199"/>
        <v>1193506.3800000001</v>
      </c>
      <c r="AI228" s="232"/>
      <c r="AJ228" s="232">
        <f t="shared" si="216"/>
        <v>3309788.04</v>
      </c>
      <c r="AK228" s="233">
        <f t="shared" si="217"/>
        <v>3534.1000000000931</v>
      </c>
      <c r="AL228" s="234">
        <f t="shared" si="218"/>
        <v>3534.1000000000931</v>
      </c>
      <c r="AM228" s="160"/>
      <c r="AN228" s="116"/>
      <c r="AO228" s="116"/>
      <c r="AP228" s="116"/>
      <c r="AQ228" s="116"/>
      <c r="AR228" s="170">
        <f t="shared" ref="AR228:AR258" si="226">AM228+AN228+AO228+AP228+AQ228</f>
        <v>0</v>
      </c>
      <c r="AS228" s="417">
        <f t="shared" si="168"/>
        <v>99.893336661795288</v>
      </c>
    </row>
    <row r="229" spans="1:45" ht="14.1" customHeight="1" thickBot="1">
      <c r="A229" s="424" t="s">
        <v>147</v>
      </c>
      <c r="B229" s="230"/>
      <c r="C229" s="230" t="s">
        <v>400</v>
      </c>
      <c r="D229" s="232">
        <f>D294+D244+D261</f>
        <v>390016</v>
      </c>
      <c r="E229" s="232">
        <f>E294+E244+E261</f>
        <v>390016</v>
      </c>
      <c r="F229" s="232">
        <f>F294+F244+F261</f>
        <v>907655.65</v>
      </c>
      <c r="G229" s="232">
        <f>G294+G244+G261</f>
        <v>390015.6</v>
      </c>
      <c r="H229" s="232"/>
      <c r="I229" s="320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316">
        <f t="shared" si="201"/>
        <v>0</v>
      </c>
      <c r="AH229" s="315">
        <f t="shared" si="199"/>
        <v>907655.65</v>
      </c>
      <c r="AI229" s="232"/>
      <c r="AJ229" s="232">
        <f t="shared" si="216"/>
        <v>390015.6</v>
      </c>
      <c r="AK229" s="233">
        <f t="shared" si="217"/>
        <v>0.40000000002328306</v>
      </c>
      <c r="AL229" s="234">
        <f t="shared" si="218"/>
        <v>0.40000000002328306</v>
      </c>
      <c r="AM229" s="160"/>
      <c r="AN229" s="116"/>
      <c r="AO229" s="116"/>
      <c r="AP229" s="116"/>
      <c r="AQ229" s="116"/>
      <c r="AR229" s="170">
        <f t="shared" si="226"/>
        <v>0</v>
      </c>
      <c r="AS229" s="417">
        <f t="shared" si="168"/>
        <v>99.999897440105016</v>
      </c>
    </row>
    <row r="230" spans="1:45" ht="14.1" hidden="1" customHeight="1" thickBot="1">
      <c r="A230" s="424" t="s">
        <v>676</v>
      </c>
      <c r="B230" s="230"/>
      <c r="C230" s="230" t="s">
        <v>908</v>
      </c>
      <c r="D230" s="232">
        <f>D231+D232</f>
        <v>0</v>
      </c>
      <c r="E230" s="232">
        <f>E231+E232</f>
        <v>0</v>
      </c>
      <c r="F230" s="232" t="e">
        <f t="shared" ref="F230:G230" si="227">F231+F232</f>
        <v>#REF!</v>
      </c>
      <c r="G230" s="232">
        <f t="shared" si="227"/>
        <v>0</v>
      </c>
      <c r="H230" s="232"/>
      <c r="I230" s="320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  <c r="AC230" s="191"/>
      <c r="AD230" s="191"/>
      <c r="AE230" s="191"/>
      <c r="AF230" s="191"/>
      <c r="AG230" s="316">
        <f t="shared" si="201"/>
        <v>0</v>
      </c>
      <c r="AH230" s="315" t="e">
        <f t="shared" si="199"/>
        <v>#REF!</v>
      </c>
      <c r="AI230" s="232"/>
      <c r="AJ230" s="232">
        <f t="shared" si="216"/>
        <v>0</v>
      </c>
      <c r="AK230" s="233">
        <f t="shared" si="217"/>
        <v>0</v>
      </c>
      <c r="AL230" s="234">
        <f t="shared" si="218"/>
        <v>0</v>
      </c>
      <c r="AM230" s="160"/>
      <c r="AN230" s="116"/>
      <c r="AO230" s="116"/>
      <c r="AP230" s="116"/>
      <c r="AQ230" s="116"/>
      <c r="AR230" s="170">
        <f t="shared" si="226"/>
        <v>0</v>
      </c>
      <c r="AS230" s="417" t="e">
        <f t="shared" si="168"/>
        <v>#DIV/0!</v>
      </c>
    </row>
    <row r="231" spans="1:45" ht="20.100000000000001" hidden="1" customHeight="1" thickBot="1">
      <c r="A231" s="424" t="s">
        <v>675</v>
      </c>
      <c r="B231" s="230"/>
      <c r="C231" s="230" t="s">
        <v>909</v>
      </c>
      <c r="D231" s="232">
        <f>D296</f>
        <v>0</v>
      </c>
      <c r="E231" s="232">
        <f>E296</f>
        <v>0</v>
      </c>
      <c r="F231" s="232" t="e">
        <f t="shared" ref="F231:G231" si="228">F296</f>
        <v>#REF!</v>
      </c>
      <c r="G231" s="232">
        <f t="shared" si="228"/>
        <v>0</v>
      </c>
      <c r="H231" s="232"/>
      <c r="I231" s="320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F231" s="191"/>
      <c r="AG231" s="316">
        <f t="shared" si="201"/>
        <v>0</v>
      </c>
      <c r="AH231" s="315" t="e">
        <f t="shared" si="199"/>
        <v>#REF!</v>
      </c>
      <c r="AI231" s="232"/>
      <c r="AJ231" s="232">
        <f t="shared" si="216"/>
        <v>0</v>
      </c>
      <c r="AK231" s="233">
        <f t="shared" si="217"/>
        <v>0</v>
      </c>
      <c r="AL231" s="234">
        <f t="shared" si="218"/>
        <v>0</v>
      </c>
      <c r="AM231" s="160"/>
      <c r="AN231" s="116"/>
      <c r="AO231" s="116"/>
      <c r="AP231" s="116"/>
      <c r="AQ231" s="116"/>
      <c r="AR231" s="170">
        <f t="shared" si="226"/>
        <v>0</v>
      </c>
      <c r="AS231" s="417" t="e">
        <f t="shared" si="168"/>
        <v>#DIV/0!</v>
      </c>
    </row>
    <row r="232" spans="1:45" ht="22.5" hidden="1" customHeight="1" thickBot="1">
      <c r="A232" s="424" t="s">
        <v>106</v>
      </c>
      <c r="B232" s="230"/>
      <c r="C232" s="230" t="s">
        <v>684</v>
      </c>
      <c r="D232" s="232">
        <f t="shared" ref="D232:G232" si="229">D264</f>
        <v>0</v>
      </c>
      <c r="E232" s="232">
        <f t="shared" ref="E232" si="230">E264</f>
        <v>0</v>
      </c>
      <c r="F232" s="232">
        <f>F264</f>
        <v>0</v>
      </c>
      <c r="G232" s="232">
        <f t="shared" si="229"/>
        <v>0</v>
      </c>
      <c r="H232" s="232"/>
      <c r="I232" s="320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316">
        <f t="shared" si="201"/>
        <v>0</v>
      </c>
      <c r="AH232" s="315">
        <f t="shared" si="199"/>
        <v>0</v>
      </c>
      <c r="AI232" s="232"/>
      <c r="AJ232" s="232">
        <f t="shared" si="216"/>
        <v>0</v>
      </c>
      <c r="AK232" s="233">
        <f t="shared" si="217"/>
        <v>0</v>
      </c>
      <c r="AL232" s="234">
        <f t="shared" si="218"/>
        <v>0</v>
      </c>
      <c r="AM232" s="160"/>
      <c r="AN232" s="116"/>
      <c r="AO232" s="116"/>
      <c r="AP232" s="116"/>
      <c r="AQ232" s="116"/>
      <c r="AR232" s="170"/>
      <c r="AS232" s="417" t="e">
        <f t="shared" si="168"/>
        <v>#DIV/0!</v>
      </c>
    </row>
    <row r="233" spans="1:45" ht="18.75" hidden="1" customHeight="1" thickBot="1">
      <c r="A233" s="424" t="s">
        <v>88</v>
      </c>
      <c r="B233" s="230"/>
      <c r="C233" s="230" t="s">
        <v>734</v>
      </c>
      <c r="D233" s="232"/>
      <c r="E233" s="232"/>
      <c r="F233" s="232"/>
      <c r="G233" s="232"/>
      <c r="H233" s="232"/>
      <c r="I233" s="320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F233" s="191"/>
      <c r="AG233" s="316">
        <f t="shared" si="201"/>
        <v>0</v>
      </c>
      <c r="AH233" s="315">
        <f t="shared" si="199"/>
        <v>0</v>
      </c>
      <c r="AI233" s="232"/>
      <c r="AJ233" s="232">
        <f t="shared" si="216"/>
        <v>0</v>
      </c>
      <c r="AK233" s="233">
        <f t="shared" si="217"/>
        <v>0</v>
      </c>
      <c r="AL233" s="234">
        <f t="shared" si="218"/>
        <v>0</v>
      </c>
      <c r="AM233" s="160"/>
      <c r="AN233" s="116"/>
      <c r="AO233" s="116"/>
      <c r="AP233" s="116"/>
      <c r="AQ233" s="116"/>
      <c r="AR233" s="170">
        <f t="shared" si="226"/>
        <v>0</v>
      </c>
      <c r="AS233" s="417" t="e">
        <f t="shared" si="168"/>
        <v>#DIV/0!</v>
      </c>
    </row>
    <row r="234" spans="1:45" ht="15.75" customHeight="1" thickBot="1">
      <c r="A234" s="424" t="s">
        <v>141</v>
      </c>
      <c r="B234" s="230"/>
      <c r="C234" s="230" t="s">
        <v>267</v>
      </c>
      <c r="D234" s="232">
        <f>D235+D236</f>
        <v>1831029.13</v>
      </c>
      <c r="E234" s="232">
        <f>E235+E236</f>
        <v>1831029.13</v>
      </c>
      <c r="F234" s="232">
        <f>F235+F236</f>
        <v>107627</v>
      </c>
      <c r="G234" s="232">
        <f>G235+G236</f>
        <v>1830161.29</v>
      </c>
      <c r="H234" s="232"/>
      <c r="I234" s="320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  <c r="AD234" s="191"/>
      <c r="AE234" s="191"/>
      <c r="AF234" s="191"/>
      <c r="AG234" s="316">
        <f t="shared" si="201"/>
        <v>0</v>
      </c>
      <c r="AH234" s="315">
        <f t="shared" si="199"/>
        <v>107627</v>
      </c>
      <c r="AI234" s="232"/>
      <c r="AJ234" s="232">
        <f t="shared" ref="AJ234:AJ239" si="231">G234</f>
        <v>1830161.29</v>
      </c>
      <c r="AK234" s="233">
        <f t="shared" si="217"/>
        <v>867.83999999985099</v>
      </c>
      <c r="AL234" s="234">
        <f t="shared" si="218"/>
        <v>867.83999999985099</v>
      </c>
      <c r="AM234" s="160"/>
      <c r="AN234" s="116"/>
      <c r="AO234" s="116"/>
      <c r="AP234" s="116"/>
      <c r="AQ234" s="116"/>
      <c r="AR234" s="170">
        <f t="shared" si="226"/>
        <v>0</v>
      </c>
      <c r="AS234" s="417">
        <f t="shared" si="168"/>
        <v>99.952603703251853</v>
      </c>
    </row>
    <row r="235" spans="1:45" ht="17.25" customHeight="1" thickBot="1">
      <c r="A235" s="424" t="s">
        <v>186</v>
      </c>
      <c r="B235" s="230"/>
      <c r="C235" s="230" t="s">
        <v>401</v>
      </c>
      <c r="D235" s="232">
        <f>D298+D266+D246</f>
        <v>257404.68</v>
      </c>
      <c r="E235" s="232">
        <f>E298+E266+E246</f>
        <v>257404.68</v>
      </c>
      <c r="F235" s="232">
        <f>F298+F266+F246</f>
        <v>36990</v>
      </c>
      <c r="G235" s="232">
        <f>G298+G266+G246</f>
        <v>257404</v>
      </c>
      <c r="H235" s="232"/>
      <c r="I235" s="320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  <c r="AC235" s="191"/>
      <c r="AD235" s="191"/>
      <c r="AE235" s="191"/>
      <c r="AF235" s="191"/>
      <c r="AG235" s="316">
        <f t="shared" si="201"/>
        <v>0</v>
      </c>
      <c r="AH235" s="315">
        <f t="shared" si="199"/>
        <v>36990</v>
      </c>
      <c r="AI235" s="232"/>
      <c r="AJ235" s="232">
        <f t="shared" si="231"/>
        <v>257404</v>
      </c>
      <c r="AK235" s="233">
        <f t="shared" si="217"/>
        <v>0.67999999999301508</v>
      </c>
      <c r="AL235" s="234">
        <f t="shared" si="218"/>
        <v>0.67999999999301508</v>
      </c>
      <c r="AM235" s="160"/>
      <c r="AN235" s="116"/>
      <c r="AO235" s="116"/>
      <c r="AP235" s="116"/>
      <c r="AQ235" s="116"/>
      <c r="AR235" s="170">
        <f t="shared" si="226"/>
        <v>0</v>
      </c>
      <c r="AS235" s="417">
        <f t="shared" si="168"/>
        <v>99.999735824539016</v>
      </c>
    </row>
    <row r="236" spans="1:45" ht="15.6" customHeight="1" thickBot="1">
      <c r="A236" s="424" t="s">
        <v>187</v>
      </c>
      <c r="B236" s="230"/>
      <c r="C236" s="230" t="s">
        <v>268</v>
      </c>
      <c r="D236" s="232">
        <f>D299+D267</f>
        <v>1573624.45</v>
      </c>
      <c r="E236" s="232">
        <f>E299+E267</f>
        <v>1573624.45</v>
      </c>
      <c r="F236" s="232">
        <f>F299+F267</f>
        <v>70637</v>
      </c>
      <c r="G236" s="232">
        <f>G299+G267</f>
        <v>1572757.29</v>
      </c>
      <c r="H236" s="232"/>
      <c r="I236" s="320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  <c r="AA236" s="191"/>
      <c r="AB236" s="191"/>
      <c r="AC236" s="191"/>
      <c r="AD236" s="191"/>
      <c r="AE236" s="191"/>
      <c r="AF236" s="191"/>
      <c r="AG236" s="316">
        <f t="shared" si="201"/>
        <v>0</v>
      </c>
      <c r="AH236" s="315">
        <f t="shared" si="199"/>
        <v>70637</v>
      </c>
      <c r="AI236" s="232"/>
      <c r="AJ236" s="232">
        <f t="shared" si="231"/>
        <v>1572757.29</v>
      </c>
      <c r="AK236" s="233">
        <f t="shared" si="217"/>
        <v>867.15999999991618</v>
      </c>
      <c r="AL236" s="234">
        <f t="shared" si="218"/>
        <v>867.15999999991618</v>
      </c>
      <c r="AM236" s="160"/>
      <c r="AN236" s="116"/>
      <c r="AO236" s="116"/>
      <c r="AP236" s="116"/>
      <c r="AQ236" s="116"/>
      <c r="AR236" s="170">
        <f t="shared" si="226"/>
        <v>0</v>
      </c>
      <c r="AS236" s="417">
        <f t="shared" si="168"/>
        <v>99.944894094648831</v>
      </c>
    </row>
    <row r="237" spans="1:45" ht="16.5" hidden="1" customHeight="1" thickBot="1">
      <c r="A237" s="424" t="s">
        <v>716</v>
      </c>
      <c r="B237" s="230"/>
      <c r="C237" s="230" t="s">
        <v>107</v>
      </c>
      <c r="D237" s="232">
        <f>D238</f>
        <v>0</v>
      </c>
      <c r="E237" s="232">
        <f>E238</f>
        <v>0</v>
      </c>
      <c r="F237" s="232">
        <f>F238</f>
        <v>0</v>
      </c>
      <c r="G237" s="232">
        <f>G238</f>
        <v>0</v>
      </c>
      <c r="H237" s="232"/>
      <c r="I237" s="367"/>
      <c r="J237" s="368"/>
      <c r="K237" s="368"/>
      <c r="L237" s="368"/>
      <c r="M237" s="368"/>
      <c r="N237" s="368"/>
      <c r="O237" s="368"/>
      <c r="P237" s="368"/>
      <c r="Q237" s="368"/>
      <c r="R237" s="368"/>
      <c r="S237" s="368"/>
      <c r="T237" s="368"/>
      <c r="U237" s="368"/>
      <c r="V237" s="368"/>
      <c r="W237" s="368"/>
      <c r="X237" s="368"/>
      <c r="Y237" s="368"/>
      <c r="Z237" s="368"/>
      <c r="AA237" s="368"/>
      <c r="AB237" s="368"/>
      <c r="AC237" s="368"/>
      <c r="AD237" s="368"/>
      <c r="AE237" s="368"/>
      <c r="AF237" s="368"/>
      <c r="AG237" s="316">
        <f t="shared" si="201"/>
        <v>0</v>
      </c>
      <c r="AH237" s="438">
        <f t="shared" si="199"/>
        <v>0</v>
      </c>
      <c r="AI237" s="232"/>
      <c r="AJ237" s="232">
        <f t="shared" si="231"/>
        <v>0</v>
      </c>
      <c r="AK237" s="233">
        <f t="shared" si="217"/>
        <v>0</v>
      </c>
      <c r="AL237" s="234">
        <f t="shared" si="218"/>
        <v>0</v>
      </c>
      <c r="AM237" s="160"/>
      <c r="AN237" s="116"/>
      <c r="AO237" s="116"/>
      <c r="AP237" s="116"/>
      <c r="AQ237" s="116"/>
      <c r="AR237" s="170">
        <f t="shared" si="226"/>
        <v>0</v>
      </c>
      <c r="AS237" s="417" t="e">
        <f t="shared" si="168"/>
        <v>#DIV/0!</v>
      </c>
    </row>
    <row r="238" spans="1:45" ht="26.25" hidden="1" customHeight="1" thickBot="1">
      <c r="A238" s="424" t="s">
        <v>717</v>
      </c>
      <c r="B238" s="230"/>
      <c r="C238" s="230" t="s">
        <v>108</v>
      </c>
      <c r="D238" s="232">
        <f>D286</f>
        <v>0</v>
      </c>
      <c r="E238" s="232">
        <f>E286</f>
        <v>0</v>
      </c>
      <c r="F238" s="232">
        <f>F286</f>
        <v>0</v>
      </c>
      <c r="G238" s="232">
        <f>G286</f>
        <v>0</v>
      </c>
      <c r="H238" s="232"/>
      <c r="I238" s="367"/>
      <c r="J238" s="368"/>
      <c r="K238" s="368"/>
      <c r="L238" s="368"/>
      <c r="M238" s="368"/>
      <c r="N238" s="368"/>
      <c r="O238" s="368"/>
      <c r="P238" s="368"/>
      <c r="Q238" s="368"/>
      <c r="R238" s="368"/>
      <c r="S238" s="368"/>
      <c r="T238" s="368"/>
      <c r="U238" s="368"/>
      <c r="V238" s="368"/>
      <c r="W238" s="368"/>
      <c r="X238" s="368"/>
      <c r="Y238" s="368"/>
      <c r="Z238" s="368"/>
      <c r="AA238" s="368"/>
      <c r="AB238" s="368"/>
      <c r="AC238" s="368"/>
      <c r="AD238" s="368"/>
      <c r="AE238" s="368"/>
      <c r="AF238" s="368"/>
      <c r="AG238" s="316">
        <f t="shared" si="201"/>
        <v>0</v>
      </c>
      <c r="AH238" s="438">
        <f t="shared" si="199"/>
        <v>0</v>
      </c>
      <c r="AI238" s="232"/>
      <c r="AJ238" s="232">
        <f t="shared" si="231"/>
        <v>0</v>
      </c>
      <c r="AK238" s="233">
        <f t="shared" si="217"/>
        <v>0</v>
      </c>
      <c r="AL238" s="234">
        <f t="shared" si="218"/>
        <v>0</v>
      </c>
      <c r="AM238" s="160"/>
      <c r="AN238" s="116"/>
      <c r="AO238" s="116"/>
      <c r="AP238" s="116"/>
      <c r="AQ238" s="116"/>
      <c r="AR238" s="170">
        <f t="shared" si="226"/>
        <v>0</v>
      </c>
      <c r="AS238" s="417" t="e">
        <f t="shared" si="168"/>
        <v>#DIV/0!</v>
      </c>
    </row>
    <row r="239" spans="1:45" ht="16.5" hidden="1" customHeight="1" thickBot="1">
      <c r="A239" s="427" t="s">
        <v>149</v>
      </c>
      <c r="B239" s="214"/>
      <c r="C239" s="214" t="s">
        <v>487</v>
      </c>
      <c r="D239" s="216">
        <f>D241+D245</f>
        <v>0</v>
      </c>
      <c r="E239" s="216">
        <f>E241+E245</f>
        <v>0</v>
      </c>
      <c r="F239" s="216">
        <f>F241+F245</f>
        <v>0</v>
      </c>
      <c r="G239" s="216">
        <f>G241+G245</f>
        <v>0</v>
      </c>
      <c r="H239" s="216"/>
      <c r="I239" s="442"/>
      <c r="J239" s="440"/>
      <c r="K239" s="440"/>
      <c r="L239" s="440"/>
      <c r="M239" s="440"/>
      <c r="N239" s="440"/>
      <c r="O239" s="440"/>
      <c r="P239" s="440"/>
      <c r="Q239" s="440"/>
      <c r="R239" s="440"/>
      <c r="S239" s="440"/>
      <c r="T239" s="440"/>
      <c r="U239" s="440"/>
      <c r="V239" s="440"/>
      <c r="W239" s="440"/>
      <c r="X239" s="440"/>
      <c r="Y239" s="440"/>
      <c r="Z239" s="440"/>
      <c r="AA239" s="440"/>
      <c r="AB239" s="440"/>
      <c r="AC239" s="440"/>
      <c r="AD239" s="440"/>
      <c r="AE239" s="440"/>
      <c r="AF239" s="440"/>
      <c r="AG239" s="316">
        <f t="shared" si="201"/>
        <v>0</v>
      </c>
      <c r="AH239" s="441">
        <f t="shared" si="199"/>
        <v>0</v>
      </c>
      <c r="AI239" s="217"/>
      <c r="AJ239" s="216">
        <f t="shared" si="231"/>
        <v>0</v>
      </c>
      <c r="AK239" s="219">
        <f t="shared" si="217"/>
        <v>0</v>
      </c>
      <c r="AL239" s="220">
        <f t="shared" si="218"/>
        <v>0</v>
      </c>
      <c r="AM239" s="161"/>
      <c r="AN239" s="115"/>
      <c r="AO239" s="115"/>
      <c r="AP239" s="115"/>
      <c r="AQ239" s="115"/>
      <c r="AR239" s="170">
        <f t="shared" si="226"/>
        <v>0</v>
      </c>
      <c r="AS239" s="417" t="e">
        <f t="shared" si="168"/>
        <v>#DIV/0!</v>
      </c>
    </row>
    <row r="240" spans="1:45" ht="15" hidden="1" customHeight="1" thickBot="1">
      <c r="A240" s="428"/>
      <c r="B240" s="221"/>
      <c r="C240" s="221" t="s">
        <v>778</v>
      </c>
      <c r="D240" s="239"/>
      <c r="E240" s="239"/>
      <c r="F240" s="239"/>
      <c r="G240" s="239"/>
      <c r="H240" s="239"/>
      <c r="I240" s="443"/>
      <c r="J240" s="440"/>
      <c r="K240" s="440"/>
      <c r="L240" s="440"/>
      <c r="M240" s="440"/>
      <c r="N240" s="440"/>
      <c r="O240" s="440"/>
      <c r="P240" s="440"/>
      <c r="Q240" s="440"/>
      <c r="R240" s="440"/>
      <c r="S240" s="440"/>
      <c r="T240" s="440"/>
      <c r="U240" s="440"/>
      <c r="V240" s="440"/>
      <c r="W240" s="440"/>
      <c r="X240" s="440"/>
      <c r="Y240" s="440"/>
      <c r="Z240" s="440"/>
      <c r="AA240" s="440"/>
      <c r="AB240" s="440"/>
      <c r="AC240" s="440"/>
      <c r="AD240" s="440"/>
      <c r="AE240" s="440"/>
      <c r="AF240" s="440"/>
      <c r="AG240" s="316">
        <f t="shared" si="201"/>
        <v>0</v>
      </c>
      <c r="AH240" s="441">
        <f t="shared" si="199"/>
        <v>0</v>
      </c>
      <c r="AI240" s="217"/>
      <c r="AJ240" s="239"/>
      <c r="AK240" s="219">
        <f t="shared" si="217"/>
        <v>0</v>
      </c>
      <c r="AL240" s="220">
        <f t="shared" si="218"/>
        <v>0</v>
      </c>
      <c r="AM240" s="161"/>
      <c r="AN240" s="115"/>
      <c r="AO240" s="115"/>
      <c r="AP240" s="115"/>
      <c r="AQ240" s="115"/>
      <c r="AR240" s="170">
        <f t="shared" si="226"/>
        <v>0</v>
      </c>
      <c r="AS240" s="417" t="e">
        <f t="shared" si="168"/>
        <v>#DIV/0!</v>
      </c>
    </row>
    <row r="241" spans="1:45" ht="15" hidden="1" customHeight="1" thickBot="1">
      <c r="A241" s="428" t="s">
        <v>133</v>
      </c>
      <c r="B241" s="221"/>
      <c r="C241" s="221" t="s">
        <v>477</v>
      </c>
      <c r="D241" s="217">
        <f>D242</f>
        <v>0</v>
      </c>
      <c r="E241" s="217">
        <f>E242</f>
        <v>0</v>
      </c>
      <c r="F241" s="217">
        <f>F242</f>
        <v>0</v>
      </c>
      <c r="G241" s="217">
        <f>G242</f>
        <v>0</v>
      </c>
      <c r="H241" s="217"/>
      <c r="I241" s="439"/>
      <c r="J241" s="440"/>
      <c r="K241" s="440"/>
      <c r="L241" s="440"/>
      <c r="M241" s="440"/>
      <c r="N241" s="440"/>
      <c r="O241" s="440"/>
      <c r="P241" s="440"/>
      <c r="Q241" s="440"/>
      <c r="R241" s="440"/>
      <c r="S241" s="440"/>
      <c r="T241" s="440"/>
      <c r="U241" s="440"/>
      <c r="V241" s="440"/>
      <c r="W241" s="440"/>
      <c r="X241" s="440"/>
      <c r="Y241" s="440"/>
      <c r="Z241" s="440"/>
      <c r="AA241" s="440"/>
      <c r="AB241" s="440"/>
      <c r="AC241" s="440"/>
      <c r="AD241" s="440"/>
      <c r="AE241" s="440"/>
      <c r="AF241" s="440"/>
      <c r="AG241" s="316">
        <f t="shared" si="201"/>
        <v>0</v>
      </c>
      <c r="AH241" s="441">
        <f t="shared" si="199"/>
        <v>0</v>
      </c>
      <c r="AI241" s="217"/>
      <c r="AJ241" s="217">
        <f t="shared" ref="AJ241:AJ247" si="232">G241</f>
        <v>0</v>
      </c>
      <c r="AK241" s="219">
        <f t="shared" si="217"/>
        <v>0</v>
      </c>
      <c r="AL241" s="220">
        <f t="shared" si="218"/>
        <v>0</v>
      </c>
      <c r="AM241" s="161"/>
      <c r="AN241" s="115"/>
      <c r="AO241" s="115"/>
      <c r="AP241" s="115"/>
      <c r="AQ241" s="115"/>
      <c r="AR241" s="170">
        <f t="shared" si="226"/>
        <v>0</v>
      </c>
      <c r="AS241" s="417" t="e">
        <f t="shared" ref="AS241:AS306" si="233">G241/E241*100</f>
        <v>#DIV/0!</v>
      </c>
    </row>
    <row r="242" spans="1:45" ht="15" hidden="1" customHeight="1" thickBot="1">
      <c r="A242" s="428" t="s">
        <v>136</v>
      </c>
      <c r="B242" s="221"/>
      <c r="C242" s="221" t="s">
        <v>478</v>
      </c>
      <c r="D242" s="217">
        <f>D243+D244</f>
        <v>0</v>
      </c>
      <c r="E242" s="217">
        <f>E243+E244</f>
        <v>0</v>
      </c>
      <c r="F242" s="217">
        <f>F243+F244</f>
        <v>0</v>
      </c>
      <c r="G242" s="217">
        <f>G243+G244</f>
        <v>0</v>
      </c>
      <c r="H242" s="217"/>
      <c r="I242" s="439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440"/>
      <c r="AE242" s="440"/>
      <c r="AF242" s="440"/>
      <c r="AG242" s="316">
        <f t="shared" si="201"/>
        <v>0</v>
      </c>
      <c r="AH242" s="441">
        <f t="shared" si="199"/>
        <v>0</v>
      </c>
      <c r="AI242" s="217"/>
      <c r="AJ242" s="217">
        <f t="shared" si="232"/>
        <v>0</v>
      </c>
      <c r="AK242" s="219">
        <f t="shared" si="217"/>
        <v>0</v>
      </c>
      <c r="AL242" s="220">
        <f t="shared" si="218"/>
        <v>0</v>
      </c>
      <c r="AM242" s="161"/>
      <c r="AN242" s="115"/>
      <c r="AO242" s="115"/>
      <c r="AP242" s="115"/>
      <c r="AQ242" s="115"/>
      <c r="AR242" s="170">
        <f t="shared" si="226"/>
        <v>0</v>
      </c>
      <c r="AS242" s="417" t="e">
        <f t="shared" si="233"/>
        <v>#DIV/0!</v>
      </c>
    </row>
    <row r="243" spans="1:45" ht="16.5" hidden="1" customHeight="1" thickBot="1">
      <c r="A243" s="428" t="s">
        <v>188</v>
      </c>
      <c r="B243" s="221"/>
      <c r="C243" s="221" t="s">
        <v>479</v>
      </c>
      <c r="D243" s="217">
        <f>D251+D254</f>
        <v>0</v>
      </c>
      <c r="E243" s="217">
        <f>E251+E254</f>
        <v>0</v>
      </c>
      <c r="F243" s="217">
        <f>F251+F254</f>
        <v>0</v>
      </c>
      <c r="G243" s="217">
        <f>G251+G254</f>
        <v>0</v>
      </c>
      <c r="H243" s="217"/>
      <c r="I243" s="439"/>
      <c r="J243" s="440"/>
      <c r="K243" s="440"/>
      <c r="L243" s="440"/>
      <c r="M243" s="440"/>
      <c r="N243" s="440"/>
      <c r="O243" s="440"/>
      <c r="P243" s="440"/>
      <c r="Q243" s="440"/>
      <c r="R243" s="440"/>
      <c r="S243" s="440"/>
      <c r="T243" s="440"/>
      <c r="U243" s="440"/>
      <c r="V243" s="440"/>
      <c r="W243" s="440"/>
      <c r="X243" s="440"/>
      <c r="Y243" s="440"/>
      <c r="Z243" s="440"/>
      <c r="AA243" s="440"/>
      <c r="AB243" s="440"/>
      <c r="AC243" s="440"/>
      <c r="AD243" s="440"/>
      <c r="AE243" s="440"/>
      <c r="AF243" s="440"/>
      <c r="AG243" s="316">
        <f t="shared" si="201"/>
        <v>0</v>
      </c>
      <c r="AH243" s="441">
        <f t="shared" si="199"/>
        <v>0</v>
      </c>
      <c r="AI243" s="217"/>
      <c r="AJ243" s="217">
        <f t="shared" si="232"/>
        <v>0</v>
      </c>
      <c r="AK243" s="219">
        <f t="shared" si="217"/>
        <v>0</v>
      </c>
      <c r="AL243" s="220">
        <f t="shared" si="218"/>
        <v>0</v>
      </c>
      <c r="AM243" s="161"/>
      <c r="AN243" s="115"/>
      <c r="AO243" s="115"/>
      <c r="AP243" s="115"/>
      <c r="AQ243" s="115"/>
      <c r="AR243" s="170">
        <f t="shared" si="226"/>
        <v>0</v>
      </c>
      <c r="AS243" s="417" t="e">
        <f t="shared" si="233"/>
        <v>#DIV/0!</v>
      </c>
    </row>
    <row r="244" spans="1:45" ht="15" hidden="1" customHeight="1" thickBot="1">
      <c r="A244" s="428" t="s">
        <v>147</v>
      </c>
      <c r="B244" s="221"/>
      <c r="C244" s="221" t="s">
        <v>480</v>
      </c>
      <c r="D244" s="217">
        <f>D255</f>
        <v>0</v>
      </c>
      <c r="E244" s="217">
        <f>E255</f>
        <v>0</v>
      </c>
      <c r="F244" s="217">
        <f>F255</f>
        <v>0</v>
      </c>
      <c r="G244" s="217">
        <f>G255</f>
        <v>0</v>
      </c>
      <c r="H244" s="217"/>
      <c r="I244" s="439"/>
      <c r="J244" s="440"/>
      <c r="K244" s="440"/>
      <c r="L244" s="440"/>
      <c r="M244" s="440"/>
      <c r="N244" s="440"/>
      <c r="O244" s="440"/>
      <c r="P244" s="440"/>
      <c r="Q244" s="440"/>
      <c r="R244" s="440"/>
      <c r="S244" s="440"/>
      <c r="T244" s="440"/>
      <c r="U244" s="440"/>
      <c r="V244" s="440"/>
      <c r="W244" s="440"/>
      <c r="X244" s="440"/>
      <c r="Y244" s="440"/>
      <c r="Z244" s="440"/>
      <c r="AA244" s="440"/>
      <c r="AB244" s="440"/>
      <c r="AC244" s="440"/>
      <c r="AD244" s="440"/>
      <c r="AE244" s="440"/>
      <c r="AF244" s="440"/>
      <c r="AG244" s="316">
        <f t="shared" si="201"/>
        <v>0</v>
      </c>
      <c r="AH244" s="441">
        <f t="shared" si="199"/>
        <v>0</v>
      </c>
      <c r="AI244" s="217"/>
      <c r="AJ244" s="217">
        <f t="shared" si="232"/>
        <v>0</v>
      </c>
      <c r="AK244" s="219">
        <f t="shared" si="217"/>
        <v>0</v>
      </c>
      <c r="AL244" s="220">
        <f t="shared" si="218"/>
        <v>0</v>
      </c>
      <c r="AM244" s="161"/>
      <c r="AN244" s="115"/>
      <c r="AO244" s="115"/>
      <c r="AP244" s="115"/>
      <c r="AQ244" s="115"/>
      <c r="AR244" s="170">
        <f t="shared" si="226"/>
        <v>0</v>
      </c>
      <c r="AS244" s="417" t="e">
        <f t="shared" si="233"/>
        <v>#DIV/0!</v>
      </c>
    </row>
    <row r="245" spans="1:45" ht="14.25" hidden="1" customHeight="1" thickBot="1">
      <c r="A245" s="434" t="s">
        <v>141</v>
      </c>
      <c r="B245" s="141"/>
      <c r="C245" s="141" t="s">
        <v>481</v>
      </c>
      <c r="D245" s="119">
        <f>D246</f>
        <v>0</v>
      </c>
      <c r="E245" s="119">
        <f>E246</f>
        <v>0</v>
      </c>
      <c r="F245" s="119">
        <f>F246</f>
        <v>0</v>
      </c>
      <c r="G245" s="119">
        <f>G246</f>
        <v>0</v>
      </c>
      <c r="H245" s="119"/>
      <c r="I245" s="320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1"/>
      <c r="AD245" s="191"/>
      <c r="AE245" s="191"/>
      <c r="AF245" s="191"/>
      <c r="AG245" s="316">
        <f t="shared" si="201"/>
        <v>0</v>
      </c>
      <c r="AH245" s="315">
        <f t="shared" si="199"/>
        <v>0</v>
      </c>
      <c r="AI245" s="119"/>
      <c r="AJ245" s="119">
        <f t="shared" si="232"/>
        <v>0</v>
      </c>
      <c r="AK245" s="112">
        <f t="shared" si="217"/>
        <v>0</v>
      </c>
      <c r="AL245" s="173">
        <f t="shared" si="218"/>
        <v>0</v>
      </c>
      <c r="AM245" s="161"/>
      <c r="AN245" s="115"/>
      <c r="AO245" s="115"/>
      <c r="AP245" s="115"/>
      <c r="AQ245" s="115"/>
      <c r="AR245" s="170">
        <f t="shared" si="226"/>
        <v>0</v>
      </c>
      <c r="AS245" s="417" t="e">
        <f t="shared" si="233"/>
        <v>#DIV/0!</v>
      </c>
    </row>
    <row r="246" spans="1:45" ht="14.25" hidden="1" customHeight="1" thickBot="1">
      <c r="A246" s="434" t="s">
        <v>186</v>
      </c>
      <c r="B246" s="141"/>
      <c r="C246" s="141" t="s">
        <v>482</v>
      </c>
      <c r="D246" s="119">
        <f>D256</f>
        <v>0</v>
      </c>
      <c r="E246" s="119">
        <f>E256</f>
        <v>0</v>
      </c>
      <c r="F246" s="119">
        <f>F256</f>
        <v>0</v>
      </c>
      <c r="G246" s="119">
        <f>G256</f>
        <v>0</v>
      </c>
      <c r="H246" s="119"/>
      <c r="I246" s="320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1"/>
      <c r="AD246" s="191"/>
      <c r="AE246" s="191"/>
      <c r="AF246" s="191"/>
      <c r="AG246" s="316">
        <f t="shared" si="201"/>
        <v>0</v>
      </c>
      <c r="AH246" s="315">
        <f t="shared" si="199"/>
        <v>0</v>
      </c>
      <c r="AI246" s="119"/>
      <c r="AJ246" s="119">
        <f t="shared" si="232"/>
        <v>0</v>
      </c>
      <c r="AK246" s="112">
        <f t="shared" si="217"/>
        <v>0</v>
      </c>
      <c r="AL246" s="173">
        <f t="shared" si="218"/>
        <v>0</v>
      </c>
      <c r="AM246" s="161"/>
      <c r="AN246" s="115"/>
      <c r="AO246" s="115"/>
      <c r="AP246" s="115"/>
      <c r="AQ246" s="115"/>
      <c r="AR246" s="170">
        <f t="shared" si="226"/>
        <v>0</v>
      </c>
      <c r="AS246" s="417" t="e">
        <f t="shared" si="233"/>
        <v>#DIV/0!</v>
      </c>
    </row>
    <row r="247" spans="1:45" ht="24.75" hidden="1" customHeight="1" thickBot="1">
      <c r="A247" s="398" t="s">
        <v>763</v>
      </c>
      <c r="B247" s="142"/>
      <c r="C247" s="142" t="s">
        <v>752</v>
      </c>
      <c r="D247" s="110">
        <f>D249</f>
        <v>0</v>
      </c>
      <c r="E247" s="110">
        <f>E249</f>
        <v>0</v>
      </c>
      <c r="F247" s="110">
        <f>F249</f>
        <v>0</v>
      </c>
      <c r="G247" s="110">
        <f>G249</f>
        <v>0</v>
      </c>
      <c r="H247" s="110"/>
      <c r="I247" s="32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1"/>
      <c r="AD247" s="191"/>
      <c r="AE247" s="191"/>
      <c r="AF247" s="191"/>
      <c r="AG247" s="316">
        <f t="shared" si="201"/>
        <v>0</v>
      </c>
      <c r="AH247" s="315">
        <f t="shared" si="199"/>
        <v>0</v>
      </c>
      <c r="AI247" s="120"/>
      <c r="AJ247" s="110">
        <f t="shared" si="232"/>
        <v>0</v>
      </c>
      <c r="AK247" s="113">
        <f t="shared" si="217"/>
        <v>0</v>
      </c>
      <c r="AL247" s="172">
        <f t="shared" si="218"/>
        <v>0</v>
      </c>
      <c r="AM247" s="133"/>
      <c r="AN247" s="110"/>
      <c r="AO247" s="110"/>
      <c r="AP247" s="110"/>
      <c r="AQ247" s="110"/>
      <c r="AR247" s="170">
        <f t="shared" si="226"/>
        <v>0</v>
      </c>
      <c r="AS247" s="417" t="e">
        <f t="shared" si="233"/>
        <v>#DIV/0!</v>
      </c>
    </row>
    <row r="248" spans="1:45" ht="15" hidden="1" customHeight="1" thickBot="1">
      <c r="A248" s="425"/>
      <c r="B248" s="140"/>
      <c r="C248" s="140" t="s">
        <v>778</v>
      </c>
      <c r="D248" s="111"/>
      <c r="E248" s="111"/>
      <c r="F248" s="111"/>
      <c r="G248" s="111"/>
      <c r="H248" s="111"/>
      <c r="I248" s="322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1"/>
      <c r="AD248" s="191"/>
      <c r="AE248" s="191"/>
      <c r="AF248" s="191"/>
      <c r="AG248" s="316">
        <f t="shared" si="201"/>
        <v>0</v>
      </c>
      <c r="AH248" s="315">
        <f t="shared" si="199"/>
        <v>0</v>
      </c>
      <c r="AI248" s="120"/>
      <c r="AJ248" s="111"/>
      <c r="AK248" s="113">
        <f t="shared" si="217"/>
        <v>0</v>
      </c>
      <c r="AL248" s="172">
        <f t="shared" si="218"/>
        <v>0</v>
      </c>
      <c r="AM248" s="133"/>
      <c r="AN248" s="110"/>
      <c r="AO248" s="110"/>
      <c r="AP248" s="110"/>
      <c r="AQ248" s="110"/>
      <c r="AR248" s="170">
        <f t="shared" si="226"/>
        <v>0</v>
      </c>
      <c r="AS248" s="417" t="e">
        <f t="shared" si="233"/>
        <v>#DIV/0!</v>
      </c>
    </row>
    <row r="249" spans="1:45" ht="15" hidden="1" customHeight="1" thickBot="1">
      <c r="A249" s="425" t="s">
        <v>133</v>
      </c>
      <c r="B249" s="140"/>
      <c r="C249" s="140" t="s">
        <v>753</v>
      </c>
      <c r="D249" s="120">
        <f t="shared" ref="D249:G250" si="234">D250</f>
        <v>0</v>
      </c>
      <c r="E249" s="120">
        <f t="shared" si="234"/>
        <v>0</v>
      </c>
      <c r="F249" s="120">
        <f t="shared" si="234"/>
        <v>0</v>
      </c>
      <c r="G249" s="120">
        <f t="shared" si="234"/>
        <v>0</v>
      </c>
      <c r="H249" s="120"/>
      <c r="I249" s="320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  <c r="AD249" s="191"/>
      <c r="AE249" s="191"/>
      <c r="AF249" s="191"/>
      <c r="AG249" s="316">
        <f t="shared" si="201"/>
        <v>0</v>
      </c>
      <c r="AH249" s="315">
        <f t="shared" si="199"/>
        <v>0</v>
      </c>
      <c r="AI249" s="120"/>
      <c r="AJ249" s="120">
        <f>G249</f>
        <v>0</v>
      </c>
      <c r="AK249" s="113">
        <f t="shared" si="217"/>
        <v>0</v>
      </c>
      <c r="AL249" s="172">
        <f t="shared" si="218"/>
        <v>0</v>
      </c>
      <c r="AM249" s="133"/>
      <c r="AN249" s="110"/>
      <c r="AO249" s="110"/>
      <c r="AP249" s="110"/>
      <c r="AQ249" s="110"/>
      <c r="AR249" s="170">
        <f t="shared" si="226"/>
        <v>0</v>
      </c>
      <c r="AS249" s="417" t="e">
        <f t="shared" si="233"/>
        <v>#DIV/0!</v>
      </c>
    </row>
    <row r="250" spans="1:45" ht="15" hidden="1" customHeight="1" thickBot="1">
      <c r="A250" s="425" t="s">
        <v>136</v>
      </c>
      <c r="B250" s="140"/>
      <c r="C250" s="140" t="s">
        <v>754</v>
      </c>
      <c r="D250" s="120">
        <f t="shared" si="234"/>
        <v>0</v>
      </c>
      <c r="E250" s="120">
        <f t="shared" si="234"/>
        <v>0</v>
      </c>
      <c r="F250" s="120">
        <f t="shared" si="234"/>
        <v>0</v>
      </c>
      <c r="G250" s="120">
        <f t="shared" si="234"/>
        <v>0</v>
      </c>
      <c r="H250" s="120"/>
      <c r="I250" s="320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1"/>
      <c r="AD250" s="191"/>
      <c r="AE250" s="191"/>
      <c r="AF250" s="191"/>
      <c r="AG250" s="316">
        <f t="shared" si="201"/>
        <v>0</v>
      </c>
      <c r="AH250" s="315">
        <f t="shared" si="199"/>
        <v>0</v>
      </c>
      <c r="AI250" s="120"/>
      <c r="AJ250" s="120">
        <f>G250</f>
        <v>0</v>
      </c>
      <c r="AK250" s="113">
        <f t="shared" si="217"/>
        <v>0</v>
      </c>
      <c r="AL250" s="172">
        <f t="shared" si="218"/>
        <v>0</v>
      </c>
      <c r="AM250" s="133"/>
      <c r="AN250" s="110"/>
      <c r="AO250" s="110"/>
      <c r="AP250" s="110"/>
      <c r="AQ250" s="110"/>
      <c r="AR250" s="170">
        <f t="shared" si="226"/>
        <v>0</v>
      </c>
      <c r="AS250" s="417" t="e">
        <f t="shared" si="233"/>
        <v>#DIV/0!</v>
      </c>
    </row>
    <row r="251" spans="1:45" ht="15" hidden="1" customHeight="1" thickBot="1">
      <c r="A251" s="425" t="s">
        <v>188</v>
      </c>
      <c r="B251" s="140"/>
      <c r="C251" s="140" t="s">
        <v>755</v>
      </c>
      <c r="D251" s="120">
        <v>0</v>
      </c>
      <c r="E251" s="120">
        <v>0</v>
      </c>
      <c r="F251" s="120">
        <v>0</v>
      </c>
      <c r="G251" s="120">
        <v>0</v>
      </c>
      <c r="H251" s="120"/>
      <c r="I251" s="320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  <c r="AC251" s="191"/>
      <c r="AD251" s="191"/>
      <c r="AE251" s="191"/>
      <c r="AF251" s="191"/>
      <c r="AG251" s="316">
        <f t="shared" si="201"/>
        <v>0</v>
      </c>
      <c r="AH251" s="315">
        <f t="shared" si="199"/>
        <v>0</v>
      </c>
      <c r="AI251" s="120"/>
      <c r="AJ251" s="120">
        <f>G251</f>
        <v>0</v>
      </c>
      <c r="AK251" s="113">
        <f t="shared" si="217"/>
        <v>0</v>
      </c>
      <c r="AL251" s="172">
        <f t="shared" si="218"/>
        <v>0</v>
      </c>
      <c r="AM251" s="133"/>
      <c r="AN251" s="110"/>
      <c r="AO251" s="110"/>
      <c r="AP251" s="110"/>
      <c r="AQ251" s="110"/>
      <c r="AR251" s="170">
        <f t="shared" si="226"/>
        <v>0</v>
      </c>
      <c r="AS251" s="417" t="e">
        <f t="shared" si="233"/>
        <v>#DIV/0!</v>
      </c>
    </row>
    <row r="252" spans="1:45" ht="15.75" hidden="1" customHeight="1" thickBot="1">
      <c r="A252" s="398" t="s">
        <v>756</v>
      </c>
      <c r="B252" s="142"/>
      <c r="C252" s="142" t="s">
        <v>486</v>
      </c>
      <c r="D252" s="110">
        <f>D254+D255+D256</f>
        <v>0</v>
      </c>
      <c r="E252" s="110">
        <f>E254+E255+E256</f>
        <v>0</v>
      </c>
      <c r="F252" s="110">
        <f>F254+F255+F256</f>
        <v>0</v>
      </c>
      <c r="G252" s="110">
        <f>G254+G255+G256</f>
        <v>0</v>
      </c>
      <c r="H252" s="110"/>
      <c r="I252" s="32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  <c r="AA252" s="191"/>
      <c r="AB252" s="191"/>
      <c r="AC252" s="191"/>
      <c r="AD252" s="191"/>
      <c r="AE252" s="191"/>
      <c r="AF252" s="191"/>
      <c r="AG252" s="316">
        <f t="shared" si="201"/>
        <v>0</v>
      </c>
      <c r="AH252" s="315">
        <f t="shared" si="199"/>
        <v>0</v>
      </c>
      <c r="AI252" s="120"/>
      <c r="AJ252" s="110">
        <f>G252</f>
        <v>0</v>
      </c>
      <c r="AK252" s="113">
        <f t="shared" si="217"/>
        <v>0</v>
      </c>
      <c r="AL252" s="172">
        <f t="shared" si="218"/>
        <v>0</v>
      </c>
      <c r="AM252" s="133"/>
      <c r="AN252" s="110"/>
      <c r="AO252" s="110"/>
      <c r="AP252" s="110"/>
      <c r="AQ252" s="110"/>
      <c r="AR252" s="170">
        <f t="shared" si="226"/>
        <v>0</v>
      </c>
      <c r="AS252" s="417" t="e">
        <f t="shared" si="233"/>
        <v>#DIV/0!</v>
      </c>
    </row>
    <row r="253" spans="1:45" ht="15" hidden="1" customHeight="1" thickBot="1">
      <c r="A253" s="425"/>
      <c r="B253" s="140"/>
      <c r="C253" s="140" t="s">
        <v>778</v>
      </c>
      <c r="D253" s="111"/>
      <c r="E253" s="111"/>
      <c r="F253" s="111"/>
      <c r="G253" s="111"/>
      <c r="H253" s="111"/>
      <c r="I253" s="322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  <c r="AA253" s="191"/>
      <c r="AB253" s="191"/>
      <c r="AC253" s="191"/>
      <c r="AD253" s="191"/>
      <c r="AE253" s="191"/>
      <c r="AF253" s="191"/>
      <c r="AG253" s="316">
        <f t="shared" si="201"/>
        <v>0</v>
      </c>
      <c r="AH253" s="315">
        <f t="shared" si="199"/>
        <v>0</v>
      </c>
      <c r="AI253" s="120"/>
      <c r="AJ253" s="111"/>
      <c r="AK253" s="113"/>
      <c r="AL253" s="172"/>
      <c r="AM253" s="133"/>
      <c r="AN253" s="110"/>
      <c r="AO253" s="110"/>
      <c r="AP253" s="110"/>
      <c r="AQ253" s="110"/>
      <c r="AR253" s="170">
        <f t="shared" si="226"/>
        <v>0</v>
      </c>
      <c r="AS253" s="417" t="e">
        <f t="shared" si="233"/>
        <v>#DIV/0!</v>
      </c>
    </row>
    <row r="254" spans="1:45" ht="14.25" hidden="1" customHeight="1" thickBot="1">
      <c r="A254" s="425" t="s">
        <v>188</v>
      </c>
      <c r="B254" s="140"/>
      <c r="C254" s="140" t="s">
        <v>483</v>
      </c>
      <c r="D254" s="120"/>
      <c r="E254" s="120"/>
      <c r="F254" s="120"/>
      <c r="G254" s="120"/>
      <c r="H254" s="120"/>
      <c r="I254" s="320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  <c r="AA254" s="191"/>
      <c r="AB254" s="191"/>
      <c r="AC254" s="191"/>
      <c r="AD254" s="191"/>
      <c r="AE254" s="191"/>
      <c r="AF254" s="191"/>
      <c r="AG254" s="316">
        <f t="shared" si="201"/>
        <v>0</v>
      </c>
      <c r="AH254" s="315">
        <f t="shared" si="199"/>
        <v>0</v>
      </c>
      <c r="AI254" s="120"/>
      <c r="AJ254" s="120">
        <f>G254</f>
        <v>0</v>
      </c>
      <c r="AK254" s="113">
        <f t="shared" ref="AK254:AK270" si="235">D254-AJ254</f>
        <v>0</v>
      </c>
      <c r="AL254" s="172">
        <f t="shared" ref="AL254:AL270" si="236">E254-AJ254</f>
        <v>0</v>
      </c>
      <c r="AM254" s="133"/>
      <c r="AN254" s="110"/>
      <c r="AO254" s="110"/>
      <c r="AP254" s="110"/>
      <c r="AQ254" s="110"/>
      <c r="AR254" s="170">
        <f t="shared" si="226"/>
        <v>0</v>
      </c>
      <c r="AS254" s="417" t="e">
        <f t="shared" si="233"/>
        <v>#DIV/0!</v>
      </c>
    </row>
    <row r="255" spans="1:45" ht="14.25" hidden="1" customHeight="1" thickBot="1">
      <c r="A255" s="425" t="s">
        <v>147</v>
      </c>
      <c r="B255" s="140"/>
      <c r="C255" s="140" t="s">
        <v>484</v>
      </c>
      <c r="D255" s="120">
        <v>0</v>
      </c>
      <c r="E255" s="120">
        <v>0</v>
      </c>
      <c r="F255" s="120">
        <v>0</v>
      </c>
      <c r="G255" s="120">
        <v>0</v>
      </c>
      <c r="H255" s="120"/>
      <c r="I255" s="320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  <c r="AA255" s="191"/>
      <c r="AB255" s="191"/>
      <c r="AC255" s="191"/>
      <c r="AD255" s="191"/>
      <c r="AE255" s="191"/>
      <c r="AF255" s="191"/>
      <c r="AG255" s="316">
        <f t="shared" si="201"/>
        <v>0</v>
      </c>
      <c r="AH255" s="315">
        <f t="shared" si="199"/>
        <v>0</v>
      </c>
      <c r="AI255" s="120"/>
      <c r="AJ255" s="120">
        <f>G255</f>
        <v>0</v>
      </c>
      <c r="AK255" s="113">
        <f t="shared" si="235"/>
        <v>0</v>
      </c>
      <c r="AL255" s="172">
        <f t="shared" si="236"/>
        <v>0</v>
      </c>
      <c r="AM255" s="133"/>
      <c r="AN255" s="110"/>
      <c r="AO255" s="110"/>
      <c r="AP255" s="110"/>
      <c r="AQ255" s="110"/>
      <c r="AR255" s="170">
        <f t="shared" si="226"/>
        <v>0</v>
      </c>
      <c r="AS255" s="417" t="e">
        <f t="shared" si="233"/>
        <v>#DIV/0!</v>
      </c>
    </row>
    <row r="256" spans="1:45" ht="19.5" hidden="1" customHeight="1" thickBot="1">
      <c r="A256" s="431" t="s">
        <v>186</v>
      </c>
      <c r="B256" s="140"/>
      <c r="C256" s="140" t="s">
        <v>485</v>
      </c>
      <c r="D256" s="120"/>
      <c r="E256" s="120"/>
      <c r="F256" s="120"/>
      <c r="G256" s="120"/>
      <c r="H256" s="120"/>
      <c r="I256" s="320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  <c r="AA256" s="191"/>
      <c r="AB256" s="191"/>
      <c r="AC256" s="191"/>
      <c r="AD256" s="191"/>
      <c r="AE256" s="191"/>
      <c r="AF256" s="191"/>
      <c r="AG256" s="316">
        <f t="shared" si="201"/>
        <v>0</v>
      </c>
      <c r="AH256" s="315">
        <f t="shared" si="199"/>
        <v>0</v>
      </c>
      <c r="AI256" s="120"/>
      <c r="AJ256" s="120">
        <f>G256</f>
        <v>0</v>
      </c>
      <c r="AK256" s="113">
        <f t="shared" si="235"/>
        <v>0</v>
      </c>
      <c r="AL256" s="172">
        <f t="shared" si="236"/>
        <v>0</v>
      </c>
      <c r="AM256" s="133"/>
      <c r="AN256" s="110"/>
      <c r="AO256" s="110"/>
      <c r="AP256" s="110"/>
      <c r="AQ256" s="110"/>
      <c r="AR256" s="170">
        <f t="shared" si="226"/>
        <v>0</v>
      </c>
      <c r="AS256" s="417" t="e">
        <f t="shared" si="233"/>
        <v>#DIV/0!</v>
      </c>
    </row>
    <row r="257" spans="1:45" s="109" customFormat="1" ht="1.5" hidden="1" customHeight="1" thickBot="1">
      <c r="A257" s="427" t="s">
        <v>154</v>
      </c>
      <c r="B257" s="214"/>
      <c r="C257" s="214" t="s">
        <v>468</v>
      </c>
      <c r="D257" s="218">
        <f>D258+D265+D268</f>
        <v>0</v>
      </c>
      <c r="E257" s="218">
        <f>E258+E265+E268</f>
        <v>0</v>
      </c>
      <c r="F257" s="218">
        <f>F258+F265+F268</f>
        <v>27635.75</v>
      </c>
      <c r="G257" s="218">
        <f>G258+G265+G268</f>
        <v>0</v>
      </c>
      <c r="H257" s="218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  <c r="AF257" s="183"/>
      <c r="AG257" s="316">
        <f t="shared" si="201"/>
        <v>0</v>
      </c>
      <c r="AH257" s="315">
        <f t="shared" si="199"/>
        <v>27635.75</v>
      </c>
      <c r="AI257" s="218"/>
      <c r="AJ257" s="218">
        <f>AJ258+AJ265+AJ268</f>
        <v>0</v>
      </c>
      <c r="AK257" s="219">
        <f t="shared" si="235"/>
        <v>0</v>
      </c>
      <c r="AL257" s="220">
        <f t="shared" si="236"/>
        <v>0</v>
      </c>
      <c r="AM257" s="163"/>
      <c r="AN257" s="114"/>
      <c r="AO257" s="114"/>
      <c r="AP257" s="114"/>
      <c r="AQ257" s="114"/>
      <c r="AR257" s="190">
        <f t="shared" si="226"/>
        <v>0</v>
      </c>
      <c r="AS257" s="417" t="e">
        <f t="shared" si="233"/>
        <v>#DIV/0!</v>
      </c>
    </row>
    <row r="258" spans="1:45" ht="15" hidden="1" customHeight="1" thickBot="1">
      <c r="A258" s="428" t="s">
        <v>133</v>
      </c>
      <c r="B258" s="221"/>
      <c r="C258" s="221" t="s">
        <v>402</v>
      </c>
      <c r="D258" s="217">
        <f>D262+D259</f>
        <v>0</v>
      </c>
      <c r="E258" s="217">
        <f>E262+E259</f>
        <v>0</v>
      </c>
      <c r="F258" s="217">
        <f>F262+F259</f>
        <v>27635.75</v>
      </c>
      <c r="G258" s="217">
        <f>G262+G259</f>
        <v>0</v>
      </c>
      <c r="H258" s="217"/>
      <c r="I258" s="320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  <c r="AA258" s="191"/>
      <c r="AB258" s="191"/>
      <c r="AC258" s="191"/>
      <c r="AD258" s="191"/>
      <c r="AE258" s="191"/>
      <c r="AF258" s="191"/>
      <c r="AG258" s="316">
        <f t="shared" si="201"/>
        <v>0</v>
      </c>
      <c r="AH258" s="315">
        <f t="shared" si="199"/>
        <v>27635.75</v>
      </c>
      <c r="AI258" s="217"/>
      <c r="AJ258" s="217">
        <f t="shared" ref="AJ258:AJ269" si="237">G258</f>
        <v>0</v>
      </c>
      <c r="AK258" s="219">
        <f t="shared" si="235"/>
        <v>0</v>
      </c>
      <c r="AL258" s="220">
        <f t="shared" si="236"/>
        <v>0</v>
      </c>
      <c r="AM258" s="161"/>
      <c r="AN258" s="115"/>
      <c r="AO258" s="115"/>
      <c r="AP258" s="115"/>
      <c r="AQ258" s="115"/>
      <c r="AR258" s="170">
        <f t="shared" si="226"/>
        <v>0</v>
      </c>
      <c r="AS258" s="417" t="e">
        <f t="shared" si="233"/>
        <v>#DIV/0!</v>
      </c>
    </row>
    <row r="259" spans="1:45" ht="17.25" hidden="1" customHeight="1" thickBot="1">
      <c r="A259" s="428" t="s">
        <v>136</v>
      </c>
      <c r="B259" s="221"/>
      <c r="C259" s="221" t="s">
        <v>265</v>
      </c>
      <c r="D259" s="217">
        <f>D260+D261</f>
        <v>0</v>
      </c>
      <c r="E259" s="217">
        <f>E260+E261</f>
        <v>0</v>
      </c>
      <c r="F259" s="217">
        <f>F260+F261</f>
        <v>27635.75</v>
      </c>
      <c r="G259" s="217">
        <f>G260+G261</f>
        <v>0</v>
      </c>
      <c r="H259" s="217"/>
      <c r="I259" s="320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  <c r="AB259" s="191"/>
      <c r="AC259" s="191"/>
      <c r="AD259" s="191"/>
      <c r="AE259" s="191"/>
      <c r="AF259" s="191"/>
      <c r="AG259" s="316">
        <f t="shared" si="201"/>
        <v>0</v>
      </c>
      <c r="AH259" s="315">
        <f t="shared" si="199"/>
        <v>27635.75</v>
      </c>
      <c r="AI259" s="217"/>
      <c r="AJ259" s="217">
        <f t="shared" si="237"/>
        <v>0</v>
      </c>
      <c r="AK259" s="219">
        <f t="shared" si="235"/>
        <v>0</v>
      </c>
      <c r="AL259" s="220">
        <f t="shared" si="236"/>
        <v>0</v>
      </c>
      <c r="AM259" s="161"/>
      <c r="AN259" s="115"/>
      <c r="AO259" s="115"/>
      <c r="AP259" s="115"/>
      <c r="AQ259" s="115"/>
      <c r="AR259" s="170"/>
      <c r="AS259" s="417" t="e">
        <f t="shared" si="233"/>
        <v>#DIV/0!</v>
      </c>
    </row>
    <row r="260" spans="1:45" ht="18" hidden="1" customHeight="1" thickBot="1">
      <c r="A260" s="428" t="s">
        <v>139</v>
      </c>
      <c r="B260" s="221"/>
      <c r="C260" s="221" t="s">
        <v>266</v>
      </c>
      <c r="D260" s="217">
        <f>D277+D272</f>
        <v>0</v>
      </c>
      <c r="E260" s="217">
        <f>E277+E272</f>
        <v>0</v>
      </c>
      <c r="F260" s="217">
        <f>F277+F272</f>
        <v>27635.75</v>
      </c>
      <c r="G260" s="217">
        <f>G277+G272</f>
        <v>0</v>
      </c>
      <c r="H260" s="217"/>
      <c r="I260" s="320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  <c r="AA260" s="191"/>
      <c r="AB260" s="191"/>
      <c r="AC260" s="191"/>
      <c r="AD260" s="191"/>
      <c r="AE260" s="191"/>
      <c r="AF260" s="191"/>
      <c r="AG260" s="316">
        <f t="shared" si="201"/>
        <v>0</v>
      </c>
      <c r="AH260" s="315">
        <f t="shared" si="199"/>
        <v>27635.75</v>
      </c>
      <c r="AI260" s="217"/>
      <c r="AJ260" s="217">
        <f t="shared" si="237"/>
        <v>0</v>
      </c>
      <c r="AK260" s="219">
        <f t="shared" si="235"/>
        <v>0</v>
      </c>
      <c r="AL260" s="220">
        <f t="shared" si="236"/>
        <v>0</v>
      </c>
      <c r="AM260" s="161"/>
      <c r="AN260" s="115"/>
      <c r="AO260" s="115"/>
      <c r="AP260" s="115"/>
      <c r="AQ260" s="115"/>
      <c r="AR260" s="170"/>
      <c r="AS260" s="417" t="e">
        <f t="shared" si="233"/>
        <v>#DIV/0!</v>
      </c>
    </row>
    <row r="261" spans="1:45" ht="21" hidden="1" customHeight="1" thickBot="1">
      <c r="A261" s="428" t="s">
        <v>147</v>
      </c>
      <c r="B261" s="221"/>
      <c r="C261" s="221" t="s">
        <v>727</v>
      </c>
      <c r="D261" s="217">
        <f>D278</f>
        <v>0</v>
      </c>
      <c r="E261" s="217">
        <f>E278</f>
        <v>0</v>
      </c>
      <c r="F261" s="217">
        <f>F278</f>
        <v>0</v>
      </c>
      <c r="G261" s="217">
        <f>G278</f>
        <v>0</v>
      </c>
      <c r="H261" s="217"/>
      <c r="I261" s="320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  <c r="AD261" s="191"/>
      <c r="AE261" s="191"/>
      <c r="AF261" s="191"/>
      <c r="AG261" s="316">
        <f t="shared" si="201"/>
        <v>0</v>
      </c>
      <c r="AH261" s="315">
        <f t="shared" si="199"/>
        <v>0</v>
      </c>
      <c r="AI261" s="217"/>
      <c r="AJ261" s="217">
        <f>G261</f>
        <v>0</v>
      </c>
      <c r="AK261" s="219">
        <f t="shared" si="235"/>
        <v>0</v>
      </c>
      <c r="AL261" s="220">
        <f t="shared" si="236"/>
        <v>0</v>
      </c>
      <c r="AM261" s="161"/>
      <c r="AN261" s="115"/>
      <c r="AO261" s="115"/>
      <c r="AP261" s="115"/>
      <c r="AQ261" s="115"/>
      <c r="AR261" s="170"/>
      <c r="AS261" s="417" t="e">
        <f t="shared" si="233"/>
        <v>#DIV/0!</v>
      </c>
    </row>
    <row r="262" spans="1:45" ht="18.75" hidden="1" customHeight="1" thickBot="1">
      <c r="A262" s="428" t="s">
        <v>184</v>
      </c>
      <c r="B262" s="221"/>
      <c r="C262" s="221" t="s">
        <v>403</v>
      </c>
      <c r="D262" s="217">
        <f>D263+D264</f>
        <v>0</v>
      </c>
      <c r="E262" s="217">
        <f>E263+E264</f>
        <v>0</v>
      </c>
      <c r="F262" s="217">
        <f>F263+F264</f>
        <v>0</v>
      </c>
      <c r="G262" s="217">
        <f>G263+G264</f>
        <v>0</v>
      </c>
      <c r="H262" s="217"/>
      <c r="I262" s="320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316">
        <f t="shared" si="201"/>
        <v>0</v>
      </c>
      <c r="AH262" s="315">
        <f t="shared" si="199"/>
        <v>0</v>
      </c>
      <c r="AI262" s="217"/>
      <c r="AJ262" s="217">
        <f t="shared" si="237"/>
        <v>0</v>
      </c>
      <c r="AK262" s="219">
        <f t="shared" si="235"/>
        <v>0</v>
      </c>
      <c r="AL262" s="220">
        <f t="shared" si="236"/>
        <v>0</v>
      </c>
      <c r="AM262" s="161"/>
      <c r="AN262" s="115"/>
      <c r="AO262" s="115"/>
      <c r="AP262" s="115"/>
      <c r="AQ262" s="115"/>
      <c r="AR262" s="170">
        <f t="shared" ref="AR262:AR269" si="238">AM262+AN262+AO262+AP262+AQ262</f>
        <v>0</v>
      </c>
      <c r="AS262" s="417" t="e">
        <f t="shared" si="233"/>
        <v>#DIV/0!</v>
      </c>
    </row>
    <row r="263" spans="1:45" ht="18" hidden="1" customHeight="1" thickBot="1">
      <c r="A263" s="428" t="s">
        <v>685</v>
      </c>
      <c r="B263" s="221"/>
      <c r="C263" s="221" t="s">
        <v>404</v>
      </c>
      <c r="D263" s="217">
        <f t="shared" ref="D263:G264" si="239">D273</f>
        <v>0</v>
      </c>
      <c r="E263" s="217">
        <f t="shared" ref="E263" si="240">E273</f>
        <v>0</v>
      </c>
      <c r="F263" s="217">
        <f>F273</f>
        <v>0</v>
      </c>
      <c r="G263" s="217">
        <f t="shared" si="239"/>
        <v>0</v>
      </c>
      <c r="H263" s="217"/>
      <c r="I263" s="320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316">
        <f t="shared" si="201"/>
        <v>0</v>
      </c>
      <c r="AH263" s="315">
        <f t="shared" ref="AH263:AH329" si="241">F263+AG263</f>
        <v>0</v>
      </c>
      <c r="AI263" s="217"/>
      <c r="AJ263" s="217">
        <f t="shared" si="237"/>
        <v>0</v>
      </c>
      <c r="AK263" s="219">
        <f t="shared" si="235"/>
        <v>0</v>
      </c>
      <c r="AL263" s="220">
        <f t="shared" si="236"/>
        <v>0</v>
      </c>
      <c r="AM263" s="161"/>
      <c r="AN263" s="115"/>
      <c r="AO263" s="115"/>
      <c r="AP263" s="115"/>
      <c r="AQ263" s="115"/>
      <c r="AR263" s="170">
        <f t="shared" si="238"/>
        <v>0</v>
      </c>
      <c r="AS263" s="417" t="e">
        <f t="shared" si="233"/>
        <v>#DIV/0!</v>
      </c>
    </row>
    <row r="264" spans="1:45" ht="26.25" hidden="1" customHeight="1" thickBot="1">
      <c r="A264" s="428" t="s">
        <v>106</v>
      </c>
      <c r="B264" s="221"/>
      <c r="C264" s="221" t="s">
        <v>683</v>
      </c>
      <c r="D264" s="217">
        <f t="shared" si="239"/>
        <v>0</v>
      </c>
      <c r="E264" s="217">
        <f t="shared" ref="E264" si="242">E274</f>
        <v>0</v>
      </c>
      <c r="F264" s="217">
        <f>F274</f>
        <v>0</v>
      </c>
      <c r="G264" s="217">
        <f t="shared" si="239"/>
        <v>0</v>
      </c>
      <c r="H264" s="217"/>
      <c r="I264" s="320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1"/>
      <c r="AD264" s="191"/>
      <c r="AE264" s="191"/>
      <c r="AF264" s="191"/>
      <c r="AG264" s="316">
        <f t="shared" si="201"/>
        <v>0</v>
      </c>
      <c r="AH264" s="315">
        <f t="shared" si="241"/>
        <v>0</v>
      </c>
      <c r="AI264" s="217"/>
      <c r="AJ264" s="217">
        <f t="shared" si="237"/>
        <v>0</v>
      </c>
      <c r="AK264" s="219">
        <f t="shared" si="235"/>
        <v>0</v>
      </c>
      <c r="AL264" s="220">
        <f t="shared" si="236"/>
        <v>0</v>
      </c>
      <c r="AM264" s="161"/>
      <c r="AN264" s="115"/>
      <c r="AO264" s="115"/>
      <c r="AP264" s="115"/>
      <c r="AQ264" s="115"/>
      <c r="AR264" s="170"/>
      <c r="AS264" s="417" t="e">
        <f t="shared" si="233"/>
        <v>#DIV/0!</v>
      </c>
    </row>
    <row r="265" spans="1:45" ht="16.5" hidden="1" customHeight="1" thickBot="1">
      <c r="A265" s="428" t="s">
        <v>141</v>
      </c>
      <c r="B265" s="221"/>
      <c r="C265" s="221" t="s">
        <v>757</v>
      </c>
      <c r="D265" s="217">
        <f>D266+D267</f>
        <v>0</v>
      </c>
      <c r="E265" s="217">
        <f>E266+E267</f>
        <v>0</v>
      </c>
      <c r="F265" s="217">
        <f>F266+F267</f>
        <v>0</v>
      </c>
      <c r="G265" s="217">
        <f>G266+G267</f>
        <v>0</v>
      </c>
      <c r="H265" s="217"/>
      <c r="I265" s="320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1"/>
      <c r="AD265" s="191"/>
      <c r="AE265" s="191"/>
      <c r="AF265" s="191"/>
      <c r="AG265" s="316">
        <f t="shared" ref="AG265:AG330" si="243">SUM(I265:AF265)</f>
        <v>0</v>
      </c>
      <c r="AH265" s="315">
        <f t="shared" si="241"/>
        <v>0</v>
      </c>
      <c r="AI265" s="217"/>
      <c r="AJ265" s="217">
        <f>G265</f>
        <v>0</v>
      </c>
      <c r="AK265" s="219">
        <f t="shared" si="235"/>
        <v>0</v>
      </c>
      <c r="AL265" s="220">
        <f t="shared" si="236"/>
        <v>0</v>
      </c>
      <c r="AM265" s="161"/>
      <c r="AN265" s="115"/>
      <c r="AO265" s="115"/>
      <c r="AP265" s="115"/>
      <c r="AQ265" s="115"/>
      <c r="AR265" s="170">
        <f>AM265+AN265+AO265+AP265+AQ265</f>
        <v>0</v>
      </c>
      <c r="AS265" s="417" t="e">
        <f t="shared" si="233"/>
        <v>#DIV/0!</v>
      </c>
    </row>
    <row r="266" spans="1:45" ht="15.75" hidden="1" customHeight="1" thickBot="1">
      <c r="A266" s="428" t="s">
        <v>143</v>
      </c>
      <c r="B266" s="221"/>
      <c r="C266" s="221" t="s">
        <v>698</v>
      </c>
      <c r="D266" s="217">
        <f>D279+D282</f>
        <v>0</v>
      </c>
      <c r="E266" s="217">
        <f>E279+E282</f>
        <v>0</v>
      </c>
      <c r="F266" s="217">
        <f>F279+F282</f>
        <v>0</v>
      </c>
      <c r="G266" s="217">
        <f>G279+G282</f>
        <v>0</v>
      </c>
      <c r="H266" s="217"/>
      <c r="I266" s="320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1"/>
      <c r="AD266" s="191"/>
      <c r="AE266" s="191"/>
      <c r="AF266" s="191"/>
      <c r="AG266" s="316">
        <f t="shared" si="243"/>
        <v>0</v>
      </c>
      <c r="AH266" s="315">
        <f t="shared" si="241"/>
        <v>0</v>
      </c>
      <c r="AI266" s="217"/>
      <c r="AJ266" s="217">
        <f>G266</f>
        <v>0</v>
      </c>
      <c r="AK266" s="219">
        <f t="shared" si="235"/>
        <v>0</v>
      </c>
      <c r="AL266" s="220">
        <f t="shared" si="236"/>
        <v>0</v>
      </c>
      <c r="AM266" s="161"/>
      <c r="AN266" s="115"/>
      <c r="AO266" s="115"/>
      <c r="AP266" s="115"/>
      <c r="AQ266" s="115"/>
      <c r="AR266" s="170">
        <f>AM266+AN266+AO266+AP266+AQ266</f>
        <v>0</v>
      </c>
      <c r="AS266" s="417" t="e">
        <f t="shared" si="233"/>
        <v>#DIV/0!</v>
      </c>
    </row>
    <row r="267" spans="1:45" ht="18" hidden="1" customHeight="1" thickBot="1">
      <c r="A267" s="428" t="s">
        <v>187</v>
      </c>
      <c r="B267" s="221"/>
      <c r="C267" s="221" t="s">
        <v>631</v>
      </c>
      <c r="D267" s="217">
        <f>D280</f>
        <v>0</v>
      </c>
      <c r="E267" s="217">
        <f>E280</f>
        <v>0</v>
      </c>
      <c r="F267" s="217">
        <f>F280</f>
        <v>0</v>
      </c>
      <c r="G267" s="217">
        <f>G280</f>
        <v>0</v>
      </c>
      <c r="H267" s="217"/>
      <c r="I267" s="320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91"/>
      <c r="AE267" s="191"/>
      <c r="AF267" s="191"/>
      <c r="AG267" s="316">
        <f t="shared" si="243"/>
        <v>0</v>
      </c>
      <c r="AH267" s="315">
        <f t="shared" si="241"/>
        <v>0</v>
      </c>
      <c r="AI267" s="217"/>
      <c r="AJ267" s="217">
        <f>G267</f>
        <v>0</v>
      </c>
      <c r="AK267" s="219">
        <f t="shared" si="235"/>
        <v>0</v>
      </c>
      <c r="AL267" s="220">
        <f t="shared" si="236"/>
        <v>0</v>
      </c>
      <c r="AM267" s="161"/>
      <c r="AN267" s="115"/>
      <c r="AO267" s="115"/>
      <c r="AP267" s="115"/>
      <c r="AQ267" s="115"/>
      <c r="AR267" s="170">
        <f>AM267+AN267+AO267+AP267+AQ267</f>
        <v>0</v>
      </c>
      <c r="AS267" s="417" t="e">
        <f t="shared" si="233"/>
        <v>#DIV/0!</v>
      </c>
    </row>
    <row r="268" spans="1:45" ht="15.75" hidden="1" customHeight="1" thickBot="1">
      <c r="A268" s="428" t="s">
        <v>716</v>
      </c>
      <c r="B268" s="221"/>
      <c r="C268" s="221" t="s">
        <v>109</v>
      </c>
      <c r="D268" s="217">
        <f>D269</f>
        <v>0</v>
      </c>
      <c r="E268" s="217">
        <f>E269</f>
        <v>0</v>
      </c>
      <c r="F268" s="217">
        <f>F269</f>
        <v>0</v>
      </c>
      <c r="G268" s="217">
        <f>G269</f>
        <v>0</v>
      </c>
      <c r="H268" s="217"/>
      <c r="I268" s="439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440"/>
      <c r="AE268" s="440"/>
      <c r="AF268" s="440"/>
      <c r="AG268" s="316">
        <f t="shared" si="243"/>
        <v>0</v>
      </c>
      <c r="AH268" s="441">
        <f t="shared" si="241"/>
        <v>0</v>
      </c>
      <c r="AI268" s="217"/>
      <c r="AJ268" s="217">
        <f t="shared" si="237"/>
        <v>0</v>
      </c>
      <c r="AK268" s="219">
        <f t="shared" si="235"/>
        <v>0</v>
      </c>
      <c r="AL268" s="220">
        <f t="shared" si="236"/>
        <v>0</v>
      </c>
      <c r="AM268" s="161"/>
      <c r="AN268" s="115"/>
      <c r="AO268" s="115"/>
      <c r="AP268" s="115"/>
      <c r="AQ268" s="115"/>
      <c r="AR268" s="170">
        <f t="shared" si="238"/>
        <v>0</v>
      </c>
      <c r="AS268" s="417" t="e">
        <f t="shared" si="233"/>
        <v>#DIV/0!</v>
      </c>
    </row>
    <row r="269" spans="1:45" ht="24" hidden="1" customHeight="1" thickBot="1">
      <c r="A269" s="428" t="s">
        <v>717</v>
      </c>
      <c r="B269" s="221"/>
      <c r="C269" s="221" t="s">
        <v>110</v>
      </c>
      <c r="D269" s="217">
        <f>D286</f>
        <v>0</v>
      </c>
      <c r="E269" s="217">
        <f>E286</f>
        <v>0</v>
      </c>
      <c r="F269" s="217">
        <f>F286</f>
        <v>0</v>
      </c>
      <c r="G269" s="217">
        <f>G286</f>
        <v>0</v>
      </c>
      <c r="H269" s="217"/>
      <c r="I269" s="439"/>
      <c r="J269" s="440"/>
      <c r="K269" s="440"/>
      <c r="L269" s="440"/>
      <c r="M269" s="440"/>
      <c r="N269" s="440"/>
      <c r="O269" s="440"/>
      <c r="P269" s="440"/>
      <c r="Q269" s="440"/>
      <c r="R269" s="440"/>
      <c r="S269" s="440"/>
      <c r="T269" s="440"/>
      <c r="U269" s="440"/>
      <c r="V269" s="440"/>
      <c r="W269" s="440"/>
      <c r="X269" s="440"/>
      <c r="Y269" s="440"/>
      <c r="Z269" s="440"/>
      <c r="AA269" s="440"/>
      <c r="AB269" s="440"/>
      <c r="AC269" s="440"/>
      <c r="AD269" s="440"/>
      <c r="AE269" s="440"/>
      <c r="AF269" s="440"/>
      <c r="AG269" s="316">
        <f t="shared" si="243"/>
        <v>0</v>
      </c>
      <c r="AH269" s="441">
        <f t="shared" si="241"/>
        <v>0</v>
      </c>
      <c r="AI269" s="217"/>
      <c r="AJ269" s="217">
        <f t="shared" si="237"/>
        <v>0</v>
      </c>
      <c r="AK269" s="219">
        <f t="shared" si="235"/>
        <v>0</v>
      </c>
      <c r="AL269" s="220">
        <f t="shared" si="236"/>
        <v>0</v>
      </c>
      <c r="AM269" s="161"/>
      <c r="AN269" s="115"/>
      <c r="AO269" s="115"/>
      <c r="AP269" s="115"/>
      <c r="AQ269" s="115"/>
      <c r="AR269" s="170">
        <f t="shared" si="238"/>
        <v>0</v>
      </c>
      <c r="AS269" s="417" t="e">
        <f t="shared" si="233"/>
        <v>#DIV/0!</v>
      </c>
    </row>
    <row r="270" spans="1:45" ht="23.25" hidden="1" customHeight="1" thickBot="1">
      <c r="A270" s="398" t="s">
        <v>758</v>
      </c>
      <c r="B270" s="142"/>
      <c r="C270" s="142" t="s">
        <v>469</v>
      </c>
      <c r="D270" s="121">
        <f>D273+D274+D286+D272</f>
        <v>0</v>
      </c>
      <c r="E270" s="121">
        <f>E273+E274+E286+E272</f>
        <v>0</v>
      </c>
      <c r="F270" s="121">
        <f>F273+F274+F286+F272</f>
        <v>27635.75</v>
      </c>
      <c r="G270" s="121">
        <f>G273+G274+G286+G272</f>
        <v>0</v>
      </c>
      <c r="H270" s="121"/>
      <c r="I270" s="323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  <c r="AB270" s="191"/>
      <c r="AC270" s="191"/>
      <c r="AD270" s="191"/>
      <c r="AE270" s="191"/>
      <c r="AF270" s="191"/>
      <c r="AG270" s="316">
        <f t="shared" si="243"/>
        <v>0</v>
      </c>
      <c r="AH270" s="315">
        <f t="shared" si="241"/>
        <v>27635.75</v>
      </c>
      <c r="AI270" s="120"/>
      <c r="AJ270" s="148">
        <f>G270</f>
        <v>0</v>
      </c>
      <c r="AK270" s="113">
        <f t="shared" si="235"/>
        <v>0</v>
      </c>
      <c r="AL270" s="172">
        <f t="shared" si="236"/>
        <v>0</v>
      </c>
      <c r="AM270" s="133"/>
      <c r="AN270" s="110"/>
      <c r="AO270" s="110"/>
      <c r="AP270" s="110"/>
      <c r="AQ270" s="110"/>
      <c r="AR270" s="170">
        <f>AM270+AN270+AO270+AP270+AQ270</f>
        <v>0</v>
      </c>
      <c r="AS270" s="417" t="e">
        <f t="shared" si="233"/>
        <v>#DIV/0!</v>
      </c>
    </row>
    <row r="271" spans="1:45" ht="13.5" hidden="1" customHeight="1" thickBot="1">
      <c r="A271" s="425"/>
      <c r="B271" s="140"/>
      <c r="C271" s="140" t="s">
        <v>778</v>
      </c>
      <c r="D271" s="120"/>
      <c r="E271" s="120"/>
      <c r="F271" s="120"/>
      <c r="G271" s="120"/>
      <c r="H271" s="120"/>
      <c r="I271" s="320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  <c r="AB271" s="191"/>
      <c r="AC271" s="191"/>
      <c r="AD271" s="191"/>
      <c r="AE271" s="191"/>
      <c r="AF271" s="191"/>
      <c r="AG271" s="316">
        <f t="shared" si="243"/>
        <v>0</v>
      </c>
      <c r="AH271" s="315">
        <f t="shared" si="241"/>
        <v>0</v>
      </c>
      <c r="AI271" s="120"/>
      <c r="AJ271" s="147"/>
      <c r="AK271" s="113"/>
      <c r="AL271" s="172"/>
      <c r="AM271" s="133"/>
      <c r="AN271" s="110"/>
      <c r="AO271" s="110"/>
      <c r="AP271" s="110"/>
      <c r="AQ271" s="110"/>
      <c r="AR271" s="170">
        <f>AM271+AN271+AO271+AP271+AQ271</f>
        <v>0</v>
      </c>
      <c r="AS271" s="417" t="e">
        <f t="shared" si="233"/>
        <v>#DIV/0!</v>
      </c>
    </row>
    <row r="272" spans="1:45" ht="19.5" hidden="1" customHeight="1" thickBot="1">
      <c r="A272" s="431" t="s">
        <v>188</v>
      </c>
      <c r="B272" s="140"/>
      <c r="C272" s="140" t="s">
        <v>264</v>
      </c>
      <c r="D272" s="120">
        <v>0</v>
      </c>
      <c r="E272" s="120">
        <v>0</v>
      </c>
      <c r="F272" s="120">
        <v>27635.75</v>
      </c>
      <c r="G272" s="120">
        <v>0</v>
      </c>
      <c r="H272" s="120"/>
      <c r="I272" s="320"/>
      <c r="J272" s="191"/>
      <c r="K272" s="320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  <c r="AA272" s="191"/>
      <c r="AB272" s="191"/>
      <c r="AC272" s="191"/>
      <c r="AD272" s="191"/>
      <c r="AE272" s="191"/>
      <c r="AF272" s="191"/>
      <c r="AG272" s="316">
        <f t="shared" si="243"/>
        <v>0</v>
      </c>
      <c r="AH272" s="315">
        <f>F272+AG272</f>
        <v>27635.75</v>
      </c>
      <c r="AI272" s="120"/>
      <c r="AJ272" s="147">
        <f>G272</f>
        <v>0</v>
      </c>
      <c r="AK272" s="113">
        <f>D272-AJ272</f>
        <v>0</v>
      </c>
      <c r="AL272" s="172">
        <f>E272-AJ272</f>
        <v>0</v>
      </c>
      <c r="AM272" s="133">
        <v>300000</v>
      </c>
      <c r="AN272" s="110"/>
      <c r="AO272" s="110"/>
      <c r="AP272" s="110"/>
      <c r="AQ272" s="110"/>
      <c r="AR272" s="170">
        <f>AM272+AN272+AO272+AP272+AQ272</f>
        <v>300000</v>
      </c>
      <c r="AS272" s="417" t="e">
        <f t="shared" si="233"/>
        <v>#DIV/0!</v>
      </c>
    </row>
    <row r="273" spans="1:45" ht="23.25" hidden="1" customHeight="1" thickBot="1">
      <c r="A273" s="431" t="s">
        <v>104</v>
      </c>
      <c r="B273" s="140"/>
      <c r="C273" s="140" t="s">
        <v>470</v>
      </c>
      <c r="D273" s="120">
        <v>0</v>
      </c>
      <c r="E273" s="120">
        <v>0</v>
      </c>
      <c r="F273" s="120">
        <v>0</v>
      </c>
      <c r="G273" s="120">
        <v>0</v>
      </c>
      <c r="H273" s="120"/>
      <c r="I273" s="320"/>
      <c r="J273" s="191"/>
      <c r="K273" s="320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  <c r="AB273" s="191"/>
      <c r="AC273" s="191"/>
      <c r="AD273" s="191"/>
      <c r="AE273" s="191"/>
      <c r="AF273" s="191"/>
      <c r="AG273" s="316">
        <f t="shared" si="243"/>
        <v>0</v>
      </c>
      <c r="AH273" s="315">
        <f t="shared" si="241"/>
        <v>0</v>
      </c>
      <c r="AI273" s="120"/>
      <c r="AJ273" s="147">
        <f>G273</f>
        <v>0</v>
      </c>
      <c r="AK273" s="113">
        <f>D273-AJ273</f>
        <v>0</v>
      </c>
      <c r="AL273" s="172">
        <f>E273-AJ273</f>
        <v>0</v>
      </c>
      <c r="AM273" s="133">
        <v>300000</v>
      </c>
      <c r="AN273" s="110"/>
      <c r="AO273" s="110"/>
      <c r="AP273" s="110"/>
      <c r="AQ273" s="110"/>
      <c r="AR273" s="170">
        <f>AM273+AN273+AO273+AP273+AQ273</f>
        <v>300000</v>
      </c>
      <c r="AS273" s="417" t="e">
        <f t="shared" si="233"/>
        <v>#DIV/0!</v>
      </c>
    </row>
    <row r="274" spans="1:45" ht="27.75" hidden="1" customHeight="1" thickBot="1">
      <c r="A274" s="431" t="s">
        <v>106</v>
      </c>
      <c r="B274" s="140"/>
      <c r="C274" s="140" t="s">
        <v>103</v>
      </c>
      <c r="D274" s="120"/>
      <c r="E274" s="120"/>
      <c r="F274" s="120"/>
      <c r="G274" s="120"/>
      <c r="H274" s="120"/>
      <c r="I274" s="320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  <c r="AC274" s="191"/>
      <c r="AD274" s="191"/>
      <c r="AE274" s="191"/>
      <c r="AF274" s="191"/>
      <c r="AG274" s="316">
        <f t="shared" si="243"/>
        <v>0</v>
      </c>
      <c r="AH274" s="315">
        <f t="shared" si="241"/>
        <v>0</v>
      </c>
      <c r="AI274" s="120"/>
      <c r="AJ274" s="147">
        <f>G274</f>
        <v>0</v>
      </c>
      <c r="AK274" s="113">
        <f>D274-AJ274</f>
        <v>0</v>
      </c>
      <c r="AL274" s="172">
        <f>E274-AJ274</f>
        <v>0</v>
      </c>
      <c r="AM274" s="133"/>
      <c r="AN274" s="110"/>
      <c r="AO274" s="110"/>
      <c r="AP274" s="110"/>
      <c r="AQ274" s="110"/>
      <c r="AR274" s="170"/>
      <c r="AS274" s="417" t="e">
        <f t="shared" si="233"/>
        <v>#DIV/0!</v>
      </c>
    </row>
    <row r="275" spans="1:45" ht="48" hidden="1" customHeight="1" thickBot="1">
      <c r="A275" s="398" t="s">
        <v>559</v>
      </c>
      <c r="B275" s="140"/>
      <c r="C275" s="142" t="s">
        <v>554</v>
      </c>
      <c r="D275" s="121">
        <f>SUM(D277:D280)</f>
        <v>0</v>
      </c>
      <c r="E275" s="121">
        <f>SUM(E277:E280)</f>
        <v>0</v>
      </c>
      <c r="F275" s="121">
        <f>SUM(F277:F280)</f>
        <v>0</v>
      </c>
      <c r="G275" s="121">
        <f>SUM(G277:G280)</f>
        <v>0</v>
      </c>
      <c r="H275" s="113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  <c r="AB275" s="191"/>
      <c r="AC275" s="191"/>
      <c r="AD275" s="191"/>
      <c r="AE275" s="191"/>
      <c r="AF275" s="191"/>
      <c r="AG275" s="316">
        <f t="shared" si="243"/>
        <v>0</v>
      </c>
      <c r="AH275" s="315">
        <f t="shared" si="241"/>
        <v>0</v>
      </c>
      <c r="AI275" s="120"/>
      <c r="AJ275" s="148">
        <f>G275</f>
        <v>0</v>
      </c>
      <c r="AK275" s="113">
        <f>D275-AJ275</f>
        <v>0</v>
      </c>
      <c r="AL275" s="172">
        <f>E275-AJ275</f>
        <v>0</v>
      </c>
      <c r="AM275" s="133"/>
      <c r="AN275" s="110"/>
      <c r="AO275" s="110"/>
      <c r="AP275" s="110"/>
      <c r="AQ275" s="110"/>
      <c r="AR275" s="170">
        <f t="shared" ref="AR275:AR314" si="244">AM275+AN275+AO275+AP275+AQ275</f>
        <v>0</v>
      </c>
      <c r="AS275" s="417" t="e">
        <f t="shared" si="233"/>
        <v>#DIV/0!</v>
      </c>
    </row>
    <row r="276" spans="1:45" ht="10.5" hidden="1" customHeight="1" thickBot="1">
      <c r="A276" s="425"/>
      <c r="B276" s="140"/>
      <c r="C276" s="140" t="s">
        <v>778</v>
      </c>
      <c r="D276" s="120"/>
      <c r="E276" s="120"/>
      <c r="F276" s="120"/>
      <c r="G276" s="120"/>
      <c r="H276" s="120"/>
      <c r="I276" s="320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  <c r="AC276" s="191"/>
      <c r="AD276" s="191"/>
      <c r="AE276" s="191"/>
      <c r="AF276" s="191"/>
      <c r="AG276" s="316">
        <f t="shared" si="243"/>
        <v>0</v>
      </c>
      <c r="AH276" s="315">
        <f t="shared" si="241"/>
        <v>0</v>
      </c>
      <c r="AI276" s="120"/>
      <c r="AJ276" s="147"/>
      <c r="AK276" s="113"/>
      <c r="AL276" s="172"/>
      <c r="AM276" s="133"/>
      <c r="AN276" s="110"/>
      <c r="AO276" s="110"/>
      <c r="AP276" s="110"/>
      <c r="AQ276" s="110"/>
      <c r="AR276" s="170">
        <f t="shared" si="244"/>
        <v>0</v>
      </c>
      <c r="AS276" s="417" t="e">
        <f t="shared" si="233"/>
        <v>#DIV/0!</v>
      </c>
    </row>
    <row r="277" spans="1:45" ht="15.75" hidden="1" customHeight="1" thickBot="1">
      <c r="A277" s="426" t="s">
        <v>139</v>
      </c>
      <c r="B277" s="140"/>
      <c r="C277" s="140" t="s">
        <v>556</v>
      </c>
      <c r="D277" s="120"/>
      <c r="E277" s="120"/>
      <c r="F277" s="120"/>
      <c r="G277" s="120"/>
      <c r="H277" s="120"/>
      <c r="I277" s="320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1"/>
      <c r="AD277" s="191"/>
      <c r="AE277" s="191"/>
      <c r="AF277" s="191"/>
      <c r="AG277" s="316">
        <f t="shared" si="243"/>
        <v>0</v>
      </c>
      <c r="AH277" s="315">
        <f t="shared" si="241"/>
        <v>0</v>
      </c>
      <c r="AI277" s="120"/>
      <c r="AJ277" s="147">
        <f t="shared" ref="AJ277:AJ286" si="245">G277</f>
        <v>0</v>
      </c>
      <c r="AK277" s="113">
        <f t="shared" ref="AK277:AK300" si="246">D277-AJ277</f>
        <v>0</v>
      </c>
      <c r="AL277" s="172">
        <f t="shared" ref="AL277:AL293" si="247">E277-AJ277</f>
        <v>0</v>
      </c>
      <c r="AM277" s="133"/>
      <c r="AN277" s="110"/>
      <c r="AO277" s="110"/>
      <c r="AP277" s="110"/>
      <c r="AQ277" s="110"/>
      <c r="AR277" s="170"/>
      <c r="AS277" s="417" t="e">
        <f t="shared" si="233"/>
        <v>#DIV/0!</v>
      </c>
    </row>
    <row r="278" spans="1:45" ht="15" hidden="1" customHeight="1" thickBot="1">
      <c r="A278" s="426" t="s">
        <v>147</v>
      </c>
      <c r="B278" s="140"/>
      <c r="C278" s="140" t="s">
        <v>557</v>
      </c>
      <c r="D278" s="120"/>
      <c r="E278" s="120"/>
      <c r="F278" s="120"/>
      <c r="G278" s="120"/>
      <c r="H278" s="120"/>
      <c r="I278" s="320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  <c r="AD278" s="191"/>
      <c r="AE278" s="191"/>
      <c r="AF278" s="191"/>
      <c r="AG278" s="316">
        <f t="shared" si="243"/>
        <v>0</v>
      </c>
      <c r="AH278" s="315">
        <f t="shared" si="241"/>
        <v>0</v>
      </c>
      <c r="AI278" s="120"/>
      <c r="AJ278" s="147">
        <f t="shared" si="245"/>
        <v>0</v>
      </c>
      <c r="AK278" s="113">
        <f t="shared" si="246"/>
        <v>0</v>
      </c>
      <c r="AL278" s="172">
        <f t="shared" si="247"/>
        <v>0</v>
      </c>
      <c r="AM278" s="133"/>
      <c r="AN278" s="110"/>
      <c r="AO278" s="110"/>
      <c r="AP278" s="110"/>
      <c r="AQ278" s="110"/>
      <c r="AR278" s="170"/>
      <c r="AS278" s="417" t="e">
        <f t="shared" si="233"/>
        <v>#DIV/0!</v>
      </c>
    </row>
    <row r="279" spans="1:45" ht="16.5" hidden="1" customHeight="1" thickBot="1">
      <c r="A279" s="426" t="s">
        <v>143</v>
      </c>
      <c r="B279" s="140"/>
      <c r="C279" s="140" t="s">
        <v>555</v>
      </c>
      <c r="D279" s="131"/>
      <c r="E279" s="131"/>
      <c r="F279" s="131"/>
      <c r="G279" s="131"/>
      <c r="H279" s="131"/>
      <c r="I279" s="320"/>
      <c r="J279" s="191"/>
      <c r="K279" s="191"/>
      <c r="L279" s="191"/>
      <c r="M279" s="191"/>
      <c r="N279" s="324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  <c r="AD279" s="191"/>
      <c r="AE279" s="191"/>
      <c r="AF279" s="191"/>
      <c r="AG279" s="316">
        <f t="shared" si="243"/>
        <v>0</v>
      </c>
      <c r="AH279" s="315">
        <f t="shared" si="241"/>
        <v>0</v>
      </c>
      <c r="AI279" s="131"/>
      <c r="AJ279" s="147">
        <f t="shared" si="245"/>
        <v>0</v>
      </c>
      <c r="AK279" s="113">
        <f t="shared" si="246"/>
        <v>0</v>
      </c>
      <c r="AL279" s="175">
        <f t="shared" si="247"/>
        <v>0</v>
      </c>
      <c r="AM279" s="166">
        <v>1070000</v>
      </c>
      <c r="AN279" s="167">
        <v>760000</v>
      </c>
      <c r="AO279" s="114"/>
      <c r="AP279" s="114"/>
      <c r="AQ279" s="114"/>
      <c r="AR279" s="170">
        <f t="shared" si="244"/>
        <v>1830000</v>
      </c>
      <c r="AS279" s="417" t="e">
        <f t="shared" si="233"/>
        <v>#DIV/0!</v>
      </c>
    </row>
    <row r="280" spans="1:45" ht="26.25" hidden="1" customHeight="1" thickBot="1">
      <c r="A280" s="425" t="s">
        <v>721</v>
      </c>
      <c r="B280" s="140"/>
      <c r="C280" s="140" t="s">
        <v>558</v>
      </c>
      <c r="D280" s="131"/>
      <c r="E280" s="131"/>
      <c r="F280" s="131"/>
      <c r="G280" s="131"/>
      <c r="H280" s="131"/>
      <c r="I280" s="320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1"/>
      <c r="AD280" s="191"/>
      <c r="AE280" s="191"/>
      <c r="AF280" s="191"/>
      <c r="AG280" s="316">
        <f t="shared" si="243"/>
        <v>0</v>
      </c>
      <c r="AH280" s="315">
        <f t="shared" si="241"/>
        <v>0</v>
      </c>
      <c r="AI280" s="131"/>
      <c r="AJ280" s="147">
        <f t="shared" si="245"/>
        <v>0</v>
      </c>
      <c r="AK280" s="113">
        <f t="shared" si="246"/>
        <v>0</v>
      </c>
      <c r="AL280" s="175">
        <f t="shared" si="247"/>
        <v>0</v>
      </c>
      <c r="AM280" s="166">
        <v>1070000</v>
      </c>
      <c r="AN280" s="167">
        <v>760000</v>
      </c>
      <c r="AO280" s="114"/>
      <c r="AP280" s="114"/>
      <c r="AQ280" s="114"/>
      <c r="AR280" s="170">
        <f>AM280+AN280+AO280+AP280+AQ280</f>
        <v>1830000</v>
      </c>
      <c r="AS280" s="417" t="e">
        <f t="shared" si="233"/>
        <v>#DIV/0!</v>
      </c>
    </row>
    <row r="281" spans="1:45" ht="27.75" hidden="1" customHeight="1" thickBot="1">
      <c r="A281" s="398" t="s">
        <v>545</v>
      </c>
      <c r="B281" s="140"/>
      <c r="C281" s="142" t="s">
        <v>471</v>
      </c>
      <c r="D281" s="121">
        <f>D282</f>
        <v>0</v>
      </c>
      <c r="E281" s="121">
        <f>E282</f>
        <v>0</v>
      </c>
      <c r="F281" s="121">
        <f>F282</f>
        <v>0</v>
      </c>
      <c r="G281" s="121">
        <f>G282</f>
        <v>0</v>
      </c>
      <c r="H281" s="113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  <c r="AD281" s="191"/>
      <c r="AE281" s="191"/>
      <c r="AF281" s="191"/>
      <c r="AG281" s="316">
        <f t="shared" si="243"/>
        <v>0</v>
      </c>
      <c r="AH281" s="315">
        <f t="shared" si="241"/>
        <v>0</v>
      </c>
      <c r="AI281" s="120"/>
      <c r="AJ281" s="148">
        <f>G281</f>
        <v>0</v>
      </c>
      <c r="AK281" s="113">
        <f t="shared" si="246"/>
        <v>0</v>
      </c>
      <c r="AL281" s="172">
        <f t="shared" si="247"/>
        <v>0</v>
      </c>
      <c r="AM281" s="133"/>
      <c r="AN281" s="110"/>
      <c r="AO281" s="110"/>
      <c r="AP281" s="110"/>
      <c r="AQ281" s="110"/>
      <c r="AR281" s="170">
        <f>AM281+AN281+AO281+AP281+AQ281</f>
        <v>0</v>
      </c>
      <c r="AS281" s="417" t="e">
        <f t="shared" si="233"/>
        <v>#DIV/0!</v>
      </c>
    </row>
    <row r="282" spans="1:45" ht="18" hidden="1" customHeight="1" thickBot="1">
      <c r="A282" s="426" t="s">
        <v>143</v>
      </c>
      <c r="B282" s="140"/>
      <c r="C282" s="140" t="s">
        <v>472</v>
      </c>
      <c r="D282" s="131">
        <v>0</v>
      </c>
      <c r="E282" s="131">
        <v>0</v>
      </c>
      <c r="F282" s="131"/>
      <c r="G282" s="131"/>
      <c r="H282" s="131"/>
      <c r="I282" s="320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1"/>
      <c r="AD282" s="191"/>
      <c r="AE282" s="191"/>
      <c r="AF282" s="191"/>
      <c r="AG282" s="316">
        <f t="shared" si="243"/>
        <v>0</v>
      </c>
      <c r="AH282" s="315">
        <f t="shared" si="241"/>
        <v>0</v>
      </c>
      <c r="AI282" s="131"/>
      <c r="AJ282" s="147">
        <f>G282</f>
        <v>0</v>
      </c>
      <c r="AK282" s="113">
        <f t="shared" si="246"/>
        <v>0</v>
      </c>
      <c r="AL282" s="175">
        <f t="shared" si="247"/>
        <v>0</v>
      </c>
      <c r="AM282" s="166">
        <v>1070000</v>
      </c>
      <c r="AN282" s="167">
        <v>760000</v>
      </c>
      <c r="AO282" s="114"/>
      <c r="AP282" s="114"/>
      <c r="AQ282" s="114"/>
      <c r="AR282" s="170">
        <f>AM282+AN282+AO282+AP282+AQ282</f>
        <v>1830000</v>
      </c>
      <c r="AS282" s="417" t="e">
        <f t="shared" si="233"/>
        <v>#DIV/0!</v>
      </c>
    </row>
    <row r="283" spans="1:45" ht="19.5" hidden="1" customHeight="1" thickBot="1">
      <c r="A283" s="398" t="s">
        <v>154</v>
      </c>
      <c r="B283" s="140"/>
      <c r="C283" s="142" t="s">
        <v>714</v>
      </c>
      <c r="D283" s="113">
        <f>D285</f>
        <v>0</v>
      </c>
      <c r="E283" s="113">
        <f>E285</f>
        <v>0</v>
      </c>
      <c r="F283" s="113">
        <f>F285</f>
        <v>0</v>
      </c>
      <c r="G283" s="113">
        <f>G285</f>
        <v>0</v>
      </c>
      <c r="H283" s="113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  <c r="AD283" s="191"/>
      <c r="AE283" s="191"/>
      <c r="AF283" s="191"/>
      <c r="AG283" s="316">
        <f t="shared" si="243"/>
        <v>0</v>
      </c>
      <c r="AH283" s="315">
        <f t="shared" si="241"/>
        <v>0</v>
      </c>
      <c r="AI283" s="120"/>
      <c r="AJ283" s="148">
        <f t="shared" si="245"/>
        <v>0</v>
      </c>
      <c r="AK283" s="113">
        <f t="shared" si="246"/>
        <v>0</v>
      </c>
      <c r="AL283" s="172">
        <f t="shared" si="247"/>
        <v>0</v>
      </c>
      <c r="AM283" s="133"/>
      <c r="AN283" s="110"/>
      <c r="AO283" s="110"/>
      <c r="AP283" s="110"/>
      <c r="AQ283" s="110"/>
      <c r="AR283" s="170">
        <f t="shared" si="244"/>
        <v>0</v>
      </c>
      <c r="AS283" s="417" t="e">
        <f t="shared" si="233"/>
        <v>#DIV/0!</v>
      </c>
    </row>
    <row r="284" spans="1:45" ht="15" hidden="1" customHeight="1" thickBot="1">
      <c r="A284" s="425"/>
      <c r="B284" s="140"/>
      <c r="C284" s="140" t="s">
        <v>778</v>
      </c>
      <c r="D284" s="120"/>
      <c r="E284" s="120"/>
      <c r="F284" s="120"/>
      <c r="G284" s="120"/>
      <c r="H284" s="120"/>
      <c r="I284" s="320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  <c r="AC284" s="191"/>
      <c r="AD284" s="191"/>
      <c r="AE284" s="191"/>
      <c r="AF284" s="191"/>
      <c r="AG284" s="316">
        <f t="shared" si="243"/>
        <v>0</v>
      </c>
      <c r="AH284" s="315">
        <f t="shared" si="241"/>
        <v>0</v>
      </c>
      <c r="AI284" s="120"/>
      <c r="AJ284" s="147">
        <f t="shared" si="245"/>
        <v>0</v>
      </c>
      <c r="AK284" s="113">
        <f t="shared" si="246"/>
        <v>0</v>
      </c>
      <c r="AL284" s="172">
        <f t="shared" si="247"/>
        <v>0</v>
      </c>
      <c r="AM284" s="133"/>
      <c r="AN284" s="110"/>
      <c r="AO284" s="110"/>
      <c r="AP284" s="110"/>
      <c r="AQ284" s="110"/>
      <c r="AR284" s="170">
        <f t="shared" si="244"/>
        <v>0</v>
      </c>
      <c r="AS284" s="417" t="e">
        <f t="shared" si="233"/>
        <v>#DIV/0!</v>
      </c>
    </row>
    <row r="285" spans="1:45" ht="15" hidden="1" customHeight="1" thickBot="1">
      <c r="A285" s="426" t="s">
        <v>716</v>
      </c>
      <c r="B285" s="140"/>
      <c r="C285" s="140" t="s">
        <v>715</v>
      </c>
      <c r="D285" s="131">
        <f>D286</f>
        <v>0</v>
      </c>
      <c r="E285" s="131">
        <f>E286</f>
        <v>0</v>
      </c>
      <c r="F285" s="131">
        <f>F286</f>
        <v>0</v>
      </c>
      <c r="G285" s="131">
        <f>G286</f>
        <v>0</v>
      </c>
      <c r="H285" s="131"/>
      <c r="I285" s="320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  <c r="AD285" s="191"/>
      <c r="AE285" s="191"/>
      <c r="AF285" s="191"/>
      <c r="AG285" s="316">
        <f t="shared" si="243"/>
        <v>0</v>
      </c>
      <c r="AH285" s="315">
        <f t="shared" si="241"/>
        <v>0</v>
      </c>
      <c r="AI285" s="131"/>
      <c r="AJ285" s="147">
        <f t="shared" si="245"/>
        <v>0</v>
      </c>
      <c r="AK285" s="113">
        <f t="shared" si="246"/>
        <v>0</v>
      </c>
      <c r="AL285" s="175">
        <f t="shared" si="247"/>
        <v>0</v>
      </c>
      <c r="AM285" s="163"/>
      <c r="AN285" s="114"/>
      <c r="AO285" s="114"/>
      <c r="AP285" s="114"/>
      <c r="AQ285" s="114"/>
      <c r="AR285" s="170">
        <f t="shared" si="244"/>
        <v>0</v>
      </c>
      <c r="AS285" s="417" t="e">
        <f t="shared" si="233"/>
        <v>#DIV/0!</v>
      </c>
    </row>
    <row r="286" spans="1:45" ht="26.1" hidden="1" customHeight="1" thickBot="1">
      <c r="A286" s="426" t="s">
        <v>717</v>
      </c>
      <c r="B286" s="140"/>
      <c r="C286" s="140" t="s">
        <v>111</v>
      </c>
      <c r="D286" s="131">
        <v>0</v>
      </c>
      <c r="E286" s="131">
        <v>0</v>
      </c>
      <c r="F286" s="131">
        <v>0</v>
      </c>
      <c r="G286" s="131">
        <v>0</v>
      </c>
      <c r="H286" s="131"/>
      <c r="I286" s="320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  <c r="AA286" s="191"/>
      <c r="AB286" s="191"/>
      <c r="AC286" s="191"/>
      <c r="AD286" s="191"/>
      <c r="AE286" s="191"/>
      <c r="AF286" s="191"/>
      <c r="AG286" s="316">
        <f t="shared" si="243"/>
        <v>0</v>
      </c>
      <c r="AH286" s="315">
        <f t="shared" si="241"/>
        <v>0</v>
      </c>
      <c r="AI286" s="131"/>
      <c r="AJ286" s="147">
        <f t="shared" si="245"/>
        <v>0</v>
      </c>
      <c r="AK286" s="113">
        <f t="shared" si="246"/>
        <v>0</v>
      </c>
      <c r="AL286" s="175">
        <f t="shared" si="247"/>
        <v>0</v>
      </c>
      <c r="AM286" s="163"/>
      <c r="AN286" s="114"/>
      <c r="AO286" s="114"/>
      <c r="AP286" s="114"/>
      <c r="AQ286" s="114"/>
      <c r="AR286" s="170">
        <f t="shared" si="244"/>
        <v>0</v>
      </c>
      <c r="AS286" s="417" t="e">
        <f t="shared" si="233"/>
        <v>#DIV/0!</v>
      </c>
    </row>
    <row r="287" spans="1:45" ht="18" customHeight="1" thickBot="1">
      <c r="A287" s="427" t="s">
        <v>759</v>
      </c>
      <c r="B287" s="214"/>
      <c r="C287" s="214" t="s">
        <v>473</v>
      </c>
      <c r="D287" s="218">
        <f>D288+D297</f>
        <v>6708907.2700000005</v>
      </c>
      <c r="E287" s="218">
        <f>E288+E297</f>
        <v>6708907.2700000005</v>
      </c>
      <c r="F287" s="218" t="e">
        <f t="shared" ref="F287:G287" si="248">F288+F297</f>
        <v>#REF!</v>
      </c>
      <c r="G287" s="218">
        <f t="shared" si="248"/>
        <v>6599194.6200000001</v>
      </c>
      <c r="H287" s="218"/>
      <c r="I287" s="323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  <c r="AA287" s="191"/>
      <c r="AB287" s="191"/>
      <c r="AC287" s="191"/>
      <c r="AD287" s="191"/>
      <c r="AE287" s="191"/>
      <c r="AF287" s="191"/>
      <c r="AG287" s="316">
        <f t="shared" si="243"/>
        <v>0</v>
      </c>
      <c r="AH287" s="315" t="e">
        <f t="shared" si="241"/>
        <v>#REF!</v>
      </c>
      <c r="AI287" s="217"/>
      <c r="AJ287" s="218">
        <f>AJ288+AJ297</f>
        <v>6599194.6200000001</v>
      </c>
      <c r="AK287" s="219">
        <f t="shared" si="246"/>
        <v>109712.65000000037</v>
      </c>
      <c r="AL287" s="220">
        <f t="shared" si="247"/>
        <v>109712.65000000037</v>
      </c>
      <c r="AM287" s="161"/>
      <c r="AN287" s="115"/>
      <c r="AO287" s="115"/>
      <c r="AP287" s="115"/>
      <c r="AQ287" s="115"/>
      <c r="AR287" s="170">
        <f t="shared" si="244"/>
        <v>0</v>
      </c>
      <c r="AS287" s="417">
        <f t="shared" si="233"/>
        <v>98.364671837236457</v>
      </c>
    </row>
    <row r="288" spans="1:45" ht="14.25" customHeight="1" thickBot="1">
      <c r="A288" s="428" t="s">
        <v>133</v>
      </c>
      <c r="B288" s="221"/>
      <c r="C288" s="221" t="s">
        <v>405</v>
      </c>
      <c r="D288" s="217">
        <f>D289+D295</f>
        <v>4877878.1400000006</v>
      </c>
      <c r="E288" s="217">
        <f>E289+E295</f>
        <v>4877878.1400000006</v>
      </c>
      <c r="F288" s="217" t="e">
        <f t="shared" ref="F288:G288" si="249">F289+F295</f>
        <v>#REF!</v>
      </c>
      <c r="G288" s="217">
        <f t="shared" si="249"/>
        <v>4769033.33</v>
      </c>
      <c r="H288" s="217"/>
      <c r="I288" s="320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  <c r="AA288" s="191"/>
      <c r="AB288" s="191"/>
      <c r="AC288" s="191"/>
      <c r="AD288" s="191"/>
      <c r="AE288" s="191"/>
      <c r="AF288" s="191"/>
      <c r="AG288" s="316">
        <f t="shared" si="243"/>
        <v>0</v>
      </c>
      <c r="AH288" s="315" t="e">
        <f t="shared" si="241"/>
        <v>#REF!</v>
      </c>
      <c r="AI288" s="217"/>
      <c r="AJ288" s="217">
        <f t="shared" ref="AJ288:AJ300" si="250">G288</f>
        <v>4769033.33</v>
      </c>
      <c r="AK288" s="219">
        <f t="shared" si="246"/>
        <v>108844.81000000052</v>
      </c>
      <c r="AL288" s="220">
        <f t="shared" si="247"/>
        <v>108844.81000000052</v>
      </c>
      <c r="AM288" s="161"/>
      <c r="AN288" s="115"/>
      <c r="AO288" s="115"/>
      <c r="AP288" s="115"/>
      <c r="AQ288" s="115"/>
      <c r="AR288" s="170">
        <f t="shared" si="244"/>
        <v>0</v>
      </c>
      <c r="AS288" s="417">
        <f t="shared" si="233"/>
        <v>97.768603337843928</v>
      </c>
    </row>
    <row r="289" spans="1:45" ht="16.5" customHeight="1" thickBot="1">
      <c r="A289" s="428" t="s">
        <v>136</v>
      </c>
      <c r="B289" s="221"/>
      <c r="C289" s="221" t="s">
        <v>406</v>
      </c>
      <c r="D289" s="217">
        <f>D290+D291+D293+D294+D292</f>
        <v>4877878.1400000006</v>
      </c>
      <c r="E289" s="217">
        <f>E290+E291+E293+E294+E292</f>
        <v>4877878.1400000006</v>
      </c>
      <c r="F289" s="217">
        <f>F290+F291+F293+F294+F292</f>
        <v>2510990.4300000002</v>
      </c>
      <c r="G289" s="217">
        <f>G290+G291+G293+G294+G292</f>
        <v>4769033.33</v>
      </c>
      <c r="H289" s="217"/>
      <c r="I289" s="320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  <c r="AA289" s="191"/>
      <c r="AB289" s="191"/>
      <c r="AC289" s="191"/>
      <c r="AD289" s="191"/>
      <c r="AE289" s="191"/>
      <c r="AF289" s="191"/>
      <c r="AG289" s="316">
        <f t="shared" si="243"/>
        <v>0</v>
      </c>
      <c r="AH289" s="315">
        <f t="shared" si="241"/>
        <v>2510990.4300000002</v>
      </c>
      <c r="AI289" s="217"/>
      <c r="AJ289" s="217">
        <f t="shared" si="250"/>
        <v>4769033.33</v>
      </c>
      <c r="AK289" s="219">
        <f t="shared" si="246"/>
        <v>108844.81000000052</v>
      </c>
      <c r="AL289" s="220">
        <f t="shared" si="247"/>
        <v>108844.81000000052</v>
      </c>
      <c r="AM289" s="161"/>
      <c r="AN289" s="115"/>
      <c r="AO289" s="115"/>
      <c r="AP289" s="115"/>
      <c r="AQ289" s="115"/>
      <c r="AR289" s="170">
        <f t="shared" si="244"/>
        <v>0</v>
      </c>
      <c r="AS289" s="417">
        <f t="shared" si="233"/>
        <v>97.768603337843928</v>
      </c>
    </row>
    <row r="290" spans="1:45" ht="13.5" customHeight="1" thickBot="1">
      <c r="A290" s="428" t="s">
        <v>137</v>
      </c>
      <c r="B290" s="221"/>
      <c r="C290" s="221" t="s">
        <v>540</v>
      </c>
      <c r="D290" s="217">
        <f>D311+D324</f>
        <v>114540</v>
      </c>
      <c r="E290" s="217">
        <f>E311+E324</f>
        <v>114540</v>
      </c>
      <c r="F290" s="217">
        <f>F311+F324</f>
        <v>103750</v>
      </c>
      <c r="G290" s="217">
        <f>G311+G324</f>
        <v>114540</v>
      </c>
      <c r="H290" s="217"/>
      <c r="I290" s="320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  <c r="AA290" s="191"/>
      <c r="AB290" s="191"/>
      <c r="AC290" s="191"/>
      <c r="AD290" s="191"/>
      <c r="AE290" s="191"/>
      <c r="AF290" s="191"/>
      <c r="AG290" s="316">
        <f t="shared" si="243"/>
        <v>0</v>
      </c>
      <c r="AH290" s="315">
        <f t="shared" si="241"/>
        <v>103750</v>
      </c>
      <c r="AI290" s="217"/>
      <c r="AJ290" s="217">
        <f t="shared" si="250"/>
        <v>114540</v>
      </c>
      <c r="AK290" s="219">
        <f t="shared" si="246"/>
        <v>0</v>
      </c>
      <c r="AL290" s="220">
        <f t="shared" si="247"/>
        <v>0</v>
      </c>
      <c r="AM290" s="161"/>
      <c r="AN290" s="115"/>
      <c r="AO290" s="115"/>
      <c r="AP290" s="115"/>
      <c r="AQ290" s="115"/>
      <c r="AR290" s="170"/>
      <c r="AS290" s="417">
        <f t="shared" si="233"/>
        <v>100</v>
      </c>
    </row>
    <row r="291" spans="1:45" ht="15" customHeight="1" thickBot="1">
      <c r="A291" s="428" t="s">
        <v>766</v>
      </c>
      <c r="B291" s="221"/>
      <c r="C291" s="221" t="s">
        <v>407</v>
      </c>
      <c r="D291" s="217">
        <f>D302</f>
        <v>1060000</v>
      </c>
      <c r="E291" s="217">
        <f>E302</f>
        <v>1060000</v>
      </c>
      <c r="F291" s="217">
        <f>F302</f>
        <v>333714.15000000002</v>
      </c>
      <c r="G291" s="217">
        <f>G302</f>
        <v>954689.69000000006</v>
      </c>
      <c r="H291" s="217"/>
      <c r="I291" s="320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  <c r="AC291" s="191"/>
      <c r="AD291" s="191"/>
      <c r="AE291" s="191"/>
      <c r="AF291" s="191"/>
      <c r="AG291" s="316">
        <f t="shared" si="243"/>
        <v>0</v>
      </c>
      <c r="AH291" s="315">
        <f t="shared" si="241"/>
        <v>333714.15000000002</v>
      </c>
      <c r="AI291" s="217"/>
      <c r="AJ291" s="217">
        <f t="shared" si="250"/>
        <v>954689.69000000006</v>
      </c>
      <c r="AK291" s="219">
        <f t="shared" si="246"/>
        <v>105310.30999999994</v>
      </c>
      <c r="AL291" s="220">
        <f t="shared" si="247"/>
        <v>105310.30999999994</v>
      </c>
      <c r="AM291" s="161"/>
      <c r="AN291" s="115"/>
      <c r="AO291" s="115"/>
      <c r="AP291" s="115"/>
      <c r="AQ291" s="115"/>
      <c r="AR291" s="170">
        <f t="shared" si="244"/>
        <v>0</v>
      </c>
      <c r="AS291" s="417">
        <f t="shared" si="233"/>
        <v>90.06506509433963</v>
      </c>
    </row>
    <row r="292" spans="1:45" ht="15.6" hidden="1" customHeight="1" thickBot="1">
      <c r="A292" s="428" t="s">
        <v>682</v>
      </c>
      <c r="B292" s="221"/>
      <c r="C292" s="221" t="s">
        <v>334</v>
      </c>
      <c r="D292" s="217">
        <f>D312</f>
        <v>0</v>
      </c>
      <c r="E292" s="217">
        <f>E312</f>
        <v>0</v>
      </c>
      <c r="F292" s="217">
        <f>F312</f>
        <v>0</v>
      </c>
      <c r="G292" s="217">
        <f>G312</f>
        <v>0</v>
      </c>
      <c r="H292" s="217"/>
      <c r="I292" s="320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  <c r="AA292" s="191"/>
      <c r="AB292" s="191"/>
      <c r="AC292" s="191"/>
      <c r="AD292" s="191"/>
      <c r="AE292" s="191"/>
      <c r="AF292" s="191"/>
      <c r="AG292" s="316">
        <f t="shared" si="243"/>
        <v>0</v>
      </c>
      <c r="AH292" s="315">
        <f t="shared" si="241"/>
        <v>0</v>
      </c>
      <c r="AI292" s="217"/>
      <c r="AJ292" s="217">
        <f t="shared" si="250"/>
        <v>0</v>
      </c>
      <c r="AK292" s="219">
        <f t="shared" si="246"/>
        <v>0</v>
      </c>
      <c r="AL292" s="220">
        <f t="shared" si="247"/>
        <v>0</v>
      </c>
      <c r="AM292" s="161"/>
      <c r="AN292" s="115"/>
      <c r="AO292" s="115"/>
      <c r="AP292" s="115"/>
      <c r="AQ292" s="115"/>
      <c r="AR292" s="170"/>
      <c r="AS292" s="417" t="e">
        <f t="shared" si="233"/>
        <v>#DIV/0!</v>
      </c>
    </row>
    <row r="293" spans="1:45" ht="15.75" customHeight="1" thickBot="1">
      <c r="A293" s="428" t="s">
        <v>188</v>
      </c>
      <c r="B293" s="221"/>
      <c r="C293" s="221" t="s">
        <v>408</v>
      </c>
      <c r="D293" s="217">
        <f>D303+D313+D325+D329+D337+D348</f>
        <v>3313322.14</v>
      </c>
      <c r="E293" s="217">
        <f>E303+E313+E325+E329+E337+E348</f>
        <v>3313322.14</v>
      </c>
      <c r="F293" s="217">
        <f t="shared" ref="F293:G293" si="251">F303+F313+F325+F329+F337+F348</f>
        <v>1165870.6300000001</v>
      </c>
      <c r="G293" s="217">
        <f t="shared" si="251"/>
        <v>3309788.04</v>
      </c>
      <c r="H293" s="217"/>
      <c r="I293" s="320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  <c r="AA293" s="191"/>
      <c r="AB293" s="191"/>
      <c r="AC293" s="191"/>
      <c r="AD293" s="191"/>
      <c r="AE293" s="191"/>
      <c r="AF293" s="191"/>
      <c r="AG293" s="316">
        <f t="shared" si="243"/>
        <v>0</v>
      </c>
      <c r="AH293" s="315">
        <f t="shared" si="241"/>
        <v>1165870.6300000001</v>
      </c>
      <c r="AI293" s="217"/>
      <c r="AJ293" s="217">
        <f t="shared" si="250"/>
        <v>3309788.04</v>
      </c>
      <c r="AK293" s="219">
        <f t="shared" si="246"/>
        <v>3534.1000000000931</v>
      </c>
      <c r="AL293" s="220">
        <f t="shared" si="247"/>
        <v>3534.1000000000931</v>
      </c>
      <c r="AM293" s="161"/>
      <c r="AN293" s="115"/>
      <c r="AO293" s="115"/>
      <c r="AP293" s="115"/>
      <c r="AQ293" s="115"/>
      <c r="AR293" s="170">
        <f t="shared" si="244"/>
        <v>0</v>
      </c>
      <c r="AS293" s="417">
        <f t="shared" si="233"/>
        <v>99.893336661795288</v>
      </c>
    </row>
    <row r="294" spans="1:45" ht="15.6" customHeight="1" thickBot="1">
      <c r="A294" s="428" t="s">
        <v>147</v>
      </c>
      <c r="B294" s="221"/>
      <c r="C294" s="221" t="s">
        <v>409</v>
      </c>
      <c r="D294" s="217">
        <f>D304+D314+D330</f>
        <v>390016</v>
      </c>
      <c r="E294" s="217">
        <f>E304+E314+E330</f>
        <v>390016</v>
      </c>
      <c r="F294" s="217">
        <f t="shared" ref="F294:G294" si="252">F304+F314+F330</f>
        <v>907655.65</v>
      </c>
      <c r="G294" s="217">
        <f t="shared" si="252"/>
        <v>390015.6</v>
      </c>
      <c r="H294" s="217"/>
      <c r="I294" s="320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  <c r="AA294" s="191"/>
      <c r="AB294" s="191"/>
      <c r="AC294" s="191"/>
      <c r="AD294" s="191"/>
      <c r="AE294" s="191"/>
      <c r="AF294" s="191"/>
      <c r="AG294" s="316">
        <f t="shared" si="243"/>
        <v>0</v>
      </c>
      <c r="AH294" s="315">
        <f t="shared" si="241"/>
        <v>907655.65</v>
      </c>
      <c r="AI294" s="217"/>
      <c r="AJ294" s="217">
        <f t="shared" si="250"/>
        <v>390015.6</v>
      </c>
      <c r="AK294" s="219">
        <f t="shared" si="246"/>
        <v>0.40000000002328306</v>
      </c>
      <c r="AL294" s="220">
        <f t="shared" ref="AL294:AL300" si="253">E294-AJ294</f>
        <v>0.40000000002328306</v>
      </c>
      <c r="AM294" s="161"/>
      <c r="AN294" s="115"/>
      <c r="AO294" s="115"/>
      <c r="AP294" s="115"/>
      <c r="AQ294" s="115"/>
      <c r="AR294" s="170">
        <f t="shared" si="244"/>
        <v>0</v>
      </c>
      <c r="AS294" s="417">
        <f t="shared" si="233"/>
        <v>99.999897440105016</v>
      </c>
    </row>
    <row r="295" spans="1:45" ht="19.5" hidden="1" customHeight="1" thickBot="1">
      <c r="A295" s="428" t="s">
        <v>676</v>
      </c>
      <c r="B295" s="221"/>
      <c r="C295" s="221" t="s">
        <v>902</v>
      </c>
      <c r="D295" s="217"/>
      <c r="E295" s="217"/>
      <c r="F295" s="217" t="e">
        <f t="shared" ref="F295" si="254">F296</f>
        <v>#REF!</v>
      </c>
      <c r="G295" s="217"/>
      <c r="H295" s="217"/>
      <c r="I295" s="320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  <c r="AD295" s="191"/>
      <c r="AE295" s="191"/>
      <c r="AF295" s="191"/>
      <c r="AG295" s="316">
        <f t="shared" ref="AG295:AG296" si="255">SUM(I295:AF295)</f>
        <v>0</v>
      </c>
      <c r="AH295" s="315" t="e">
        <f t="shared" ref="AH295:AH296" si="256">F295+AG295</f>
        <v>#REF!</v>
      </c>
      <c r="AI295" s="217"/>
      <c r="AJ295" s="217">
        <f t="shared" ref="AJ295:AJ296" si="257">G295</f>
        <v>0</v>
      </c>
      <c r="AK295" s="219">
        <f t="shared" ref="AK295:AK296" si="258">D295-AJ295</f>
        <v>0</v>
      </c>
      <c r="AL295" s="220">
        <f t="shared" si="253"/>
        <v>0</v>
      </c>
      <c r="AM295" s="161"/>
      <c r="AN295" s="115"/>
      <c r="AO295" s="115"/>
      <c r="AP295" s="115"/>
      <c r="AQ295" s="115"/>
      <c r="AR295" s="170">
        <f t="shared" ref="AR295:AR296" si="259">AM295+AN295+AO295+AP295+AQ295</f>
        <v>0</v>
      </c>
      <c r="AS295" s="417" t="e">
        <f t="shared" ref="AS295:AS296" si="260">G295/E295*100</f>
        <v>#DIV/0!</v>
      </c>
    </row>
    <row r="296" spans="1:45" ht="20.100000000000001" hidden="1" customHeight="1" thickBot="1">
      <c r="A296" s="428" t="s">
        <v>675</v>
      </c>
      <c r="B296" s="221"/>
      <c r="C296" s="221" t="s">
        <v>903</v>
      </c>
      <c r="D296" s="217"/>
      <c r="E296" s="217"/>
      <c r="F296" s="217" t="e">
        <f>#REF!</f>
        <v>#REF!</v>
      </c>
      <c r="G296" s="217"/>
      <c r="H296" s="217"/>
      <c r="I296" s="320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  <c r="AA296" s="191"/>
      <c r="AB296" s="191"/>
      <c r="AC296" s="191"/>
      <c r="AD296" s="191"/>
      <c r="AE296" s="191"/>
      <c r="AF296" s="191"/>
      <c r="AG296" s="316">
        <f t="shared" si="255"/>
        <v>0</v>
      </c>
      <c r="AH296" s="315" t="e">
        <f t="shared" si="256"/>
        <v>#REF!</v>
      </c>
      <c r="AI296" s="217"/>
      <c r="AJ296" s="217">
        <f t="shared" si="257"/>
        <v>0</v>
      </c>
      <c r="AK296" s="219">
        <f t="shared" si="258"/>
        <v>0</v>
      </c>
      <c r="AL296" s="220">
        <f t="shared" si="253"/>
        <v>0</v>
      </c>
      <c r="AM296" s="161"/>
      <c r="AN296" s="115"/>
      <c r="AO296" s="115"/>
      <c r="AP296" s="115"/>
      <c r="AQ296" s="115"/>
      <c r="AR296" s="170">
        <f t="shared" si="259"/>
        <v>0</v>
      </c>
      <c r="AS296" s="417" t="e">
        <f t="shared" si="260"/>
        <v>#DIV/0!</v>
      </c>
    </row>
    <row r="297" spans="1:45" ht="15" customHeight="1" thickBot="1">
      <c r="A297" s="428" t="s">
        <v>141</v>
      </c>
      <c r="B297" s="221"/>
      <c r="C297" s="221" t="s">
        <v>410</v>
      </c>
      <c r="D297" s="217">
        <f>D298+D299</f>
        <v>1831029.13</v>
      </c>
      <c r="E297" s="217">
        <f>E298+E299</f>
        <v>1831029.13</v>
      </c>
      <c r="F297" s="217">
        <f>F298+F299</f>
        <v>107627</v>
      </c>
      <c r="G297" s="217">
        <f>G298+G299</f>
        <v>1830161.29</v>
      </c>
      <c r="H297" s="217"/>
      <c r="I297" s="320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  <c r="AC297" s="191"/>
      <c r="AD297" s="191"/>
      <c r="AE297" s="191"/>
      <c r="AF297" s="191"/>
      <c r="AG297" s="316">
        <f t="shared" si="243"/>
        <v>0</v>
      </c>
      <c r="AH297" s="315">
        <f t="shared" si="241"/>
        <v>107627</v>
      </c>
      <c r="AI297" s="217"/>
      <c r="AJ297" s="217">
        <f t="shared" si="250"/>
        <v>1830161.29</v>
      </c>
      <c r="AK297" s="219">
        <f t="shared" si="246"/>
        <v>867.83999999985099</v>
      </c>
      <c r="AL297" s="220">
        <f t="shared" si="253"/>
        <v>867.83999999985099</v>
      </c>
      <c r="AM297" s="161"/>
      <c r="AN297" s="115"/>
      <c r="AO297" s="115"/>
      <c r="AP297" s="115"/>
      <c r="AQ297" s="115"/>
      <c r="AR297" s="170">
        <f t="shared" si="244"/>
        <v>0</v>
      </c>
      <c r="AS297" s="417">
        <f t="shared" si="233"/>
        <v>99.952603703251853</v>
      </c>
    </row>
    <row r="298" spans="1:45" ht="15.75" customHeight="1" thickBot="1">
      <c r="A298" s="428" t="s">
        <v>143</v>
      </c>
      <c r="B298" s="221"/>
      <c r="C298" s="221" t="s">
        <v>411</v>
      </c>
      <c r="D298" s="217">
        <f>D306+D315+D338+D331</f>
        <v>257404.68</v>
      </c>
      <c r="E298" s="217">
        <f>E306+E315+E338+E331</f>
        <v>257404.68</v>
      </c>
      <c r="F298" s="217">
        <f t="shared" ref="F298:G298" si="261">F306+F315+F338+F331</f>
        <v>36990</v>
      </c>
      <c r="G298" s="217">
        <f t="shared" si="261"/>
        <v>257404</v>
      </c>
      <c r="H298" s="217"/>
      <c r="I298" s="320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  <c r="AA298" s="191"/>
      <c r="AB298" s="191"/>
      <c r="AC298" s="191"/>
      <c r="AD298" s="191"/>
      <c r="AE298" s="191"/>
      <c r="AF298" s="191"/>
      <c r="AG298" s="316">
        <f t="shared" si="243"/>
        <v>0</v>
      </c>
      <c r="AH298" s="315">
        <f t="shared" si="241"/>
        <v>36990</v>
      </c>
      <c r="AI298" s="217"/>
      <c r="AJ298" s="217">
        <f t="shared" si="250"/>
        <v>257404</v>
      </c>
      <c r="AK298" s="219">
        <f t="shared" si="246"/>
        <v>0.67999999999301508</v>
      </c>
      <c r="AL298" s="220">
        <f t="shared" si="253"/>
        <v>0.67999999999301508</v>
      </c>
      <c r="AM298" s="161"/>
      <c r="AN298" s="115"/>
      <c r="AO298" s="115"/>
      <c r="AP298" s="115"/>
      <c r="AQ298" s="115"/>
      <c r="AR298" s="170">
        <f t="shared" si="244"/>
        <v>0</v>
      </c>
      <c r="AS298" s="417">
        <f t="shared" si="233"/>
        <v>99.999735824539016</v>
      </c>
    </row>
    <row r="299" spans="1:45" ht="15" customHeight="1" thickBot="1">
      <c r="A299" s="428" t="s">
        <v>721</v>
      </c>
      <c r="B299" s="221"/>
      <c r="C299" s="221" t="s">
        <v>412</v>
      </c>
      <c r="D299" s="217">
        <f>D307+D316+D326+D344+D339+D349+D332</f>
        <v>1573624.45</v>
      </c>
      <c r="E299" s="217">
        <f>E307+E316+E326+E344+E339+E349+E332</f>
        <v>1573624.45</v>
      </c>
      <c r="F299" s="217">
        <f t="shared" ref="F299:G299" si="262">F307+F316+F326+F344+F339+F349+F332</f>
        <v>70637</v>
      </c>
      <c r="G299" s="217">
        <f t="shared" si="262"/>
        <v>1572757.29</v>
      </c>
      <c r="H299" s="217"/>
      <c r="I299" s="320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  <c r="AA299" s="191"/>
      <c r="AB299" s="191"/>
      <c r="AC299" s="191"/>
      <c r="AD299" s="191"/>
      <c r="AE299" s="191"/>
      <c r="AF299" s="191"/>
      <c r="AG299" s="316">
        <f t="shared" si="243"/>
        <v>0</v>
      </c>
      <c r="AH299" s="315">
        <f t="shared" si="241"/>
        <v>70637</v>
      </c>
      <c r="AI299" s="217"/>
      <c r="AJ299" s="217">
        <f t="shared" si="250"/>
        <v>1572757.29</v>
      </c>
      <c r="AK299" s="219">
        <f t="shared" si="246"/>
        <v>867.15999999991618</v>
      </c>
      <c r="AL299" s="220">
        <f t="shared" si="253"/>
        <v>867.15999999991618</v>
      </c>
      <c r="AM299" s="161"/>
      <c r="AN299" s="115"/>
      <c r="AO299" s="115"/>
      <c r="AP299" s="115"/>
      <c r="AQ299" s="115"/>
      <c r="AR299" s="170">
        <f t="shared" si="244"/>
        <v>0</v>
      </c>
      <c r="AS299" s="417">
        <f t="shared" si="233"/>
        <v>99.944894094648831</v>
      </c>
    </row>
    <row r="300" spans="1:45" ht="15" customHeight="1" thickBot="1">
      <c r="A300" s="398" t="s">
        <v>731</v>
      </c>
      <c r="B300" s="142"/>
      <c r="C300" s="142" t="s">
        <v>474</v>
      </c>
      <c r="D300" s="110">
        <f>SUM(D302:D307)</f>
        <v>1573009.78</v>
      </c>
      <c r="E300" s="110">
        <f>SUM(E302:E307)</f>
        <v>1573009.78</v>
      </c>
      <c r="F300" s="110">
        <f t="shared" ref="F300:G300" si="263">SUM(F302:F307)</f>
        <v>509478.15</v>
      </c>
      <c r="G300" s="110">
        <f t="shared" si="263"/>
        <v>1467699.47</v>
      </c>
      <c r="H300" s="110"/>
      <c r="I300" s="321"/>
      <c r="J300" s="191"/>
      <c r="K300" s="191"/>
      <c r="L300" s="191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  <c r="AA300" s="191"/>
      <c r="AB300" s="191"/>
      <c r="AC300" s="191"/>
      <c r="AD300" s="191"/>
      <c r="AE300" s="191"/>
      <c r="AF300" s="191"/>
      <c r="AG300" s="316">
        <f t="shared" si="243"/>
        <v>0</v>
      </c>
      <c r="AH300" s="315">
        <f t="shared" si="241"/>
        <v>509478.15</v>
      </c>
      <c r="AI300" s="120"/>
      <c r="AJ300" s="110">
        <f t="shared" si="250"/>
        <v>1467699.47</v>
      </c>
      <c r="AK300" s="113">
        <f t="shared" si="246"/>
        <v>105310.31000000006</v>
      </c>
      <c r="AL300" s="172">
        <f t="shared" si="253"/>
        <v>105310.31000000006</v>
      </c>
      <c r="AM300" s="133"/>
      <c r="AN300" s="110"/>
      <c r="AO300" s="110"/>
      <c r="AP300" s="110"/>
      <c r="AQ300" s="110"/>
      <c r="AR300" s="170">
        <f t="shared" si="244"/>
        <v>0</v>
      </c>
      <c r="AS300" s="417">
        <f t="shared" si="233"/>
        <v>93.305171313048035</v>
      </c>
    </row>
    <row r="301" spans="1:45" ht="11.25" customHeight="1" thickBot="1">
      <c r="A301" s="425"/>
      <c r="B301" s="140"/>
      <c r="C301" s="140" t="s">
        <v>778</v>
      </c>
      <c r="D301" s="111"/>
      <c r="E301" s="111"/>
      <c r="F301" s="111"/>
      <c r="G301" s="111"/>
      <c r="H301" s="111"/>
      <c r="I301" s="322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  <c r="AA301" s="191"/>
      <c r="AB301" s="191"/>
      <c r="AC301" s="191"/>
      <c r="AD301" s="191"/>
      <c r="AE301" s="191"/>
      <c r="AF301" s="191"/>
      <c r="AG301" s="316">
        <f t="shared" si="243"/>
        <v>0</v>
      </c>
      <c r="AH301" s="315">
        <f t="shared" si="241"/>
        <v>0</v>
      </c>
      <c r="AI301" s="120"/>
      <c r="AJ301" s="111"/>
      <c r="AK301" s="113"/>
      <c r="AL301" s="172"/>
      <c r="AM301" s="133"/>
      <c r="AN301" s="110"/>
      <c r="AO301" s="110"/>
      <c r="AP301" s="110"/>
      <c r="AQ301" s="110"/>
      <c r="AR301" s="170">
        <f t="shared" si="244"/>
        <v>0</v>
      </c>
      <c r="AS301" s="417" t="e">
        <f t="shared" si="233"/>
        <v>#DIV/0!</v>
      </c>
    </row>
    <row r="302" spans="1:45" ht="16.5" customHeight="1" thickBot="1">
      <c r="A302" s="425" t="s">
        <v>766</v>
      </c>
      <c r="B302" s="140"/>
      <c r="C302" s="140" t="s">
        <v>870</v>
      </c>
      <c r="D302" s="120">
        <v>1060000</v>
      </c>
      <c r="E302" s="120">
        <v>1060000</v>
      </c>
      <c r="F302" s="120">
        <v>333714.15000000002</v>
      </c>
      <c r="G302" s="120">
        <f>3380.47+147566.07+27435.97+69149.26+73106.93+67020.66+30743.52+163592.52+96246.21+108153.42+91053.17+77241.49</f>
        <v>954689.69000000006</v>
      </c>
      <c r="H302" s="120"/>
      <c r="I302" s="320"/>
      <c r="J302" s="191"/>
      <c r="K302" s="191"/>
      <c r="L302" s="191"/>
      <c r="M302" s="191">
        <v>9922.64</v>
      </c>
      <c r="N302" s="191"/>
      <c r="O302" s="191"/>
      <c r="P302" s="191">
        <v>6696.52</v>
      </c>
      <c r="Q302" s="191"/>
      <c r="R302" s="191"/>
      <c r="S302" s="191"/>
      <c r="T302" s="191"/>
      <c r="U302" s="191"/>
      <c r="V302" s="191"/>
      <c r="W302" s="191"/>
      <c r="X302" s="191"/>
      <c r="Y302" s="191"/>
      <c r="Z302" s="191"/>
      <c r="AA302" s="191"/>
      <c r="AB302" s="191"/>
      <c r="AC302" s="191"/>
      <c r="AD302" s="191"/>
      <c r="AE302" s="191"/>
      <c r="AF302" s="191"/>
      <c r="AG302" s="316">
        <f t="shared" si="243"/>
        <v>16619.16</v>
      </c>
      <c r="AH302" s="315">
        <f t="shared" si="241"/>
        <v>350333.31</v>
      </c>
      <c r="AI302" s="120"/>
      <c r="AJ302" s="120">
        <f t="shared" ref="AJ302:AJ308" si="264">G302</f>
        <v>954689.69000000006</v>
      </c>
      <c r="AK302" s="113">
        <f t="shared" ref="AK302:AK309" si="265">D302-AJ302</f>
        <v>105310.30999999994</v>
      </c>
      <c r="AL302" s="172">
        <f t="shared" ref="AL302:AL309" si="266">E302-AJ302</f>
        <v>105310.30999999994</v>
      </c>
      <c r="AM302" s="166">
        <v>13156.69</v>
      </c>
      <c r="AN302" s="110"/>
      <c r="AO302" s="110"/>
      <c r="AP302" s="110"/>
      <c r="AQ302" s="110"/>
      <c r="AR302" s="170">
        <f t="shared" si="244"/>
        <v>13156.69</v>
      </c>
      <c r="AS302" s="417">
        <f t="shared" si="233"/>
        <v>90.06506509433963</v>
      </c>
    </row>
    <row r="303" spans="1:45" ht="14.25" customHeight="1" thickBot="1">
      <c r="A303" s="431" t="s">
        <v>188</v>
      </c>
      <c r="B303" s="140"/>
      <c r="C303" s="140" t="s">
        <v>475</v>
      </c>
      <c r="D303" s="120">
        <v>289910</v>
      </c>
      <c r="E303" s="120">
        <v>289910</v>
      </c>
      <c r="F303" s="120">
        <v>173137</v>
      </c>
      <c r="G303" s="120">
        <f>75510+20000+40000+34400+20000+20000+20000+40000+20000</f>
        <v>289910</v>
      </c>
      <c r="H303" s="120"/>
      <c r="I303" s="320">
        <v>12500</v>
      </c>
      <c r="K303" s="191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>
        <v>12500</v>
      </c>
      <c r="V303" s="191"/>
      <c r="W303" s="191"/>
      <c r="X303" s="324"/>
      <c r="Y303" s="191"/>
      <c r="Z303" s="191"/>
      <c r="AA303" s="191"/>
      <c r="AB303" s="191"/>
      <c r="AC303" s="191"/>
      <c r="AD303" s="191"/>
      <c r="AE303" s="191"/>
      <c r="AF303" s="191"/>
      <c r="AG303" s="316">
        <f t="shared" si="243"/>
        <v>25000</v>
      </c>
      <c r="AH303" s="315">
        <f t="shared" si="241"/>
        <v>198137</v>
      </c>
      <c r="AI303" s="120"/>
      <c r="AJ303" s="120">
        <f t="shared" si="264"/>
        <v>289910</v>
      </c>
      <c r="AK303" s="113">
        <f t="shared" si="265"/>
        <v>0</v>
      </c>
      <c r="AL303" s="172">
        <f t="shared" si="266"/>
        <v>0</v>
      </c>
      <c r="AM303" s="166">
        <v>10000</v>
      </c>
      <c r="AN303" s="167">
        <v>12566.4</v>
      </c>
      <c r="AO303" s="110"/>
      <c r="AP303" s="110"/>
      <c r="AQ303" s="110"/>
      <c r="AR303" s="170">
        <f t="shared" si="244"/>
        <v>22566.400000000001</v>
      </c>
      <c r="AS303" s="417">
        <f t="shared" si="233"/>
        <v>100</v>
      </c>
    </row>
    <row r="304" spans="1:45" ht="0.6" hidden="1" customHeight="1" thickBot="1">
      <c r="A304" s="425" t="s">
        <v>147</v>
      </c>
      <c r="B304" s="140"/>
      <c r="C304" s="140" t="s">
        <v>529</v>
      </c>
      <c r="D304" s="120">
        <v>0</v>
      </c>
      <c r="E304" s="120">
        <v>0</v>
      </c>
      <c r="F304" s="120">
        <v>0</v>
      </c>
      <c r="G304" s="120"/>
      <c r="H304" s="120"/>
      <c r="I304" s="320"/>
      <c r="J304" s="191"/>
      <c r="K304" s="191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  <c r="AA304" s="191"/>
      <c r="AB304" s="191"/>
      <c r="AC304" s="191"/>
      <c r="AD304" s="191"/>
      <c r="AE304" s="191"/>
      <c r="AF304" s="191"/>
      <c r="AG304" s="316">
        <f t="shared" si="243"/>
        <v>0</v>
      </c>
      <c r="AH304" s="315">
        <f t="shared" si="241"/>
        <v>0</v>
      </c>
      <c r="AI304" s="120"/>
      <c r="AJ304" s="120">
        <f t="shared" si="264"/>
        <v>0</v>
      </c>
      <c r="AK304" s="113">
        <f t="shared" si="265"/>
        <v>0</v>
      </c>
      <c r="AL304" s="172">
        <f t="shared" si="266"/>
        <v>0</v>
      </c>
      <c r="AM304" s="133"/>
      <c r="AN304" s="110"/>
      <c r="AO304" s="110"/>
      <c r="AP304" s="110"/>
      <c r="AQ304" s="110"/>
      <c r="AR304" s="170">
        <f t="shared" si="244"/>
        <v>0</v>
      </c>
      <c r="AS304" s="417" t="e">
        <f t="shared" si="233"/>
        <v>#DIV/0!</v>
      </c>
    </row>
    <row r="305" spans="1:45" ht="13.5" hidden="1" customHeight="1" thickBot="1">
      <c r="A305" s="425" t="s">
        <v>88</v>
      </c>
      <c r="B305" s="140"/>
      <c r="C305" s="140" t="s">
        <v>726</v>
      </c>
      <c r="D305" s="120"/>
      <c r="E305" s="120"/>
      <c r="F305" s="120"/>
      <c r="G305" s="120"/>
      <c r="H305" s="120"/>
      <c r="I305" s="320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  <c r="AB305" s="191"/>
      <c r="AC305" s="191"/>
      <c r="AD305" s="191"/>
      <c r="AE305" s="191"/>
      <c r="AF305" s="191"/>
      <c r="AG305" s="316">
        <f t="shared" si="243"/>
        <v>0</v>
      </c>
      <c r="AH305" s="315">
        <f t="shared" si="241"/>
        <v>0</v>
      </c>
      <c r="AI305" s="120"/>
      <c r="AJ305" s="120">
        <f t="shared" si="264"/>
        <v>0</v>
      </c>
      <c r="AK305" s="113">
        <f t="shared" si="265"/>
        <v>0</v>
      </c>
      <c r="AL305" s="172">
        <f t="shared" si="266"/>
        <v>0</v>
      </c>
      <c r="AM305" s="133"/>
      <c r="AN305" s="110"/>
      <c r="AO305" s="110"/>
      <c r="AP305" s="110"/>
      <c r="AQ305" s="110"/>
      <c r="AR305" s="170">
        <f t="shared" si="244"/>
        <v>0</v>
      </c>
      <c r="AS305" s="417" t="e">
        <f t="shared" si="233"/>
        <v>#DIV/0!</v>
      </c>
    </row>
    <row r="306" spans="1:45" ht="0.6" hidden="1" customHeight="1" thickBot="1">
      <c r="A306" s="425" t="s">
        <v>143</v>
      </c>
      <c r="B306" s="140"/>
      <c r="C306" s="140" t="s">
        <v>966</v>
      </c>
      <c r="D306" s="120">
        <v>0</v>
      </c>
      <c r="E306" s="120">
        <v>0</v>
      </c>
      <c r="F306" s="120"/>
      <c r="G306" s="120"/>
      <c r="H306" s="120"/>
      <c r="I306" s="320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  <c r="AA306" s="191"/>
      <c r="AB306" s="191"/>
      <c r="AC306" s="191"/>
      <c r="AD306" s="191"/>
      <c r="AE306" s="191"/>
      <c r="AF306" s="191"/>
      <c r="AG306" s="316">
        <f t="shared" si="243"/>
        <v>0</v>
      </c>
      <c r="AH306" s="315">
        <f t="shared" si="241"/>
        <v>0</v>
      </c>
      <c r="AI306" s="120"/>
      <c r="AJ306" s="120">
        <f t="shared" si="264"/>
        <v>0</v>
      </c>
      <c r="AK306" s="113">
        <f t="shared" si="265"/>
        <v>0</v>
      </c>
      <c r="AL306" s="172">
        <f t="shared" si="266"/>
        <v>0</v>
      </c>
      <c r="AM306" s="133"/>
      <c r="AN306" s="110"/>
      <c r="AO306" s="110"/>
      <c r="AP306" s="110"/>
      <c r="AQ306" s="110"/>
      <c r="AR306" s="170">
        <f t="shared" si="244"/>
        <v>0</v>
      </c>
      <c r="AS306" s="417" t="e">
        <f t="shared" si="233"/>
        <v>#DIV/0!</v>
      </c>
    </row>
    <row r="307" spans="1:45" ht="16.5" customHeight="1" thickBot="1">
      <c r="A307" s="425" t="s">
        <v>721</v>
      </c>
      <c r="B307" s="140"/>
      <c r="C307" s="140" t="s">
        <v>476</v>
      </c>
      <c r="D307" s="120">
        <f>D308</f>
        <v>223099.78</v>
      </c>
      <c r="E307" s="120">
        <f>E308</f>
        <v>223099.78</v>
      </c>
      <c r="F307" s="120">
        <f t="shared" ref="F307:G307" si="267">F308</f>
        <v>2627</v>
      </c>
      <c r="G307" s="120">
        <f t="shared" si="267"/>
        <v>223099.78</v>
      </c>
      <c r="H307" s="120"/>
      <c r="I307" s="320"/>
      <c r="J307" s="191"/>
      <c r="K307" s="191"/>
      <c r="L307" s="191">
        <v>4893.8999999999996</v>
      </c>
      <c r="M307" s="191"/>
      <c r="N307" s="191"/>
      <c r="O307" s="191"/>
      <c r="P307" s="191">
        <v>11419.1</v>
      </c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  <c r="AA307" s="191"/>
      <c r="AB307" s="191"/>
      <c r="AC307" s="191"/>
      <c r="AD307" s="191"/>
      <c r="AE307" s="191"/>
      <c r="AF307" s="191"/>
      <c r="AG307" s="316">
        <f t="shared" si="243"/>
        <v>16313</v>
      </c>
      <c r="AH307" s="315">
        <f t="shared" si="241"/>
        <v>18940</v>
      </c>
      <c r="AI307" s="120"/>
      <c r="AJ307" s="120">
        <f t="shared" si="264"/>
        <v>223099.78</v>
      </c>
      <c r="AK307" s="113">
        <f t="shared" si="265"/>
        <v>0</v>
      </c>
      <c r="AL307" s="172">
        <f t="shared" si="266"/>
        <v>0</v>
      </c>
      <c r="AM307" s="166">
        <v>62616</v>
      </c>
      <c r="AN307" s="110"/>
      <c r="AO307" s="110"/>
      <c r="AP307" s="110"/>
      <c r="AQ307" s="110"/>
      <c r="AR307" s="170">
        <f t="shared" si="244"/>
        <v>62616</v>
      </c>
      <c r="AS307" s="417">
        <f t="shared" ref="AS307:AS388" si="268">G307/E307*100</f>
        <v>100</v>
      </c>
    </row>
    <row r="308" spans="1:45" ht="24" customHeight="1" thickBot="1">
      <c r="A308" s="425" t="s">
        <v>319</v>
      </c>
      <c r="B308" s="140"/>
      <c r="C308" s="140" t="s">
        <v>129</v>
      </c>
      <c r="D308" s="120">
        <v>223099.78</v>
      </c>
      <c r="E308" s="120">
        <v>223099.78</v>
      </c>
      <c r="F308" s="120">
        <v>2627</v>
      </c>
      <c r="G308" s="502">
        <v>223099.78</v>
      </c>
      <c r="H308" s="120"/>
      <c r="I308" s="320"/>
      <c r="J308" s="191"/>
      <c r="K308" s="191"/>
      <c r="L308" s="191"/>
      <c r="M308" s="191"/>
      <c r="N308" s="191"/>
      <c r="O308" s="191"/>
      <c r="P308" s="191"/>
      <c r="Q308" s="191"/>
      <c r="R308" s="191"/>
      <c r="S308" s="191"/>
      <c r="T308" s="191"/>
      <c r="U308" s="191"/>
      <c r="V308" s="191"/>
      <c r="W308" s="191"/>
      <c r="X308" s="191"/>
      <c r="Y308" s="191"/>
      <c r="Z308" s="191"/>
      <c r="AA308" s="191"/>
      <c r="AB308" s="191"/>
      <c r="AC308" s="191"/>
      <c r="AD308" s="191"/>
      <c r="AE308" s="191"/>
      <c r="AF308" s="191"/>
      <c r="AG308" s="316"/>
      <c r="AH308" s="315"/>
      <c r="AI308" s="120"/>
      <c r="AJ308" s="120">
        <f t="shared" si="264"/>
        <v>223099.78</v>
      </c>
      <c r="AK308" s="113">
        <f t="shared" si="265"/>
        <v>0</v>
      </c>
      <c r="AL308" s="172">
        <f t="shared" si="266"/>
        <v>0</v>
      </c>
      <c r="AM308" s="166"/>
      <c r="AN308" s="110"/>
      <c r="AO308" s="110"/>
      <c r="AP308" s="110"/>
      <c r="AQ308" s="110"/>
      <c r="AR308" s="170"/>
      <c r="AS308" s="417">
        <f t="shared" si="268"/>
        <v>100</v>
      </c>
    </row>
    <row r="309" spans="1:45" ht="17.25" customHeight="1" thickBot="1">
      <c r="A309" s="398" t="s">
        <v>732</v>
      </c>
      <c r="B309" s="140"/>
      <c r="C309" s="142" t="s">
        <v>872</v>
      </c>
      <c r="D309" s="121">
        <f>SUM(D311:D316)</f>
        <v>3543351.12</v>
      </c>
      <c r="E309" s="121">
        <f>SUM(E311:E316)</f>
        <v>3543351.12</v>
      </c>
      <c r="F309" s="121">
        <f>SUM(F311:F316)</f>
        <v>1341556.8600000001</v>
      </c>
      <c r="G309" s="121">
        <f>SUM(G311:G316)</f>
        <v>3538948.7800000003</v>
      </c>
      <c r="H309" s="121"/>
      <c r="I309" s="323"/>
      <c r="J309" s="191"/>
      <c r="K309" s="191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91"/>
      <c r="Z309" s="191"/>
      <c r="AA309" s="191"/>
      <c r="AB309" s="191"/>
      <c r="AC309" s="191"/>
      <c r="AD309" s="191"/>
      <c r="AE309" s="191"/>
      <c r="AF309" s="191"/>
      <c r="AG309" s="316">
        <f t="shared" si="243"/>
        <v>0</v>
      </c>
      <c r="AH309" s="315">
        <f t="shared" si="241"/>
        <v>1341556.8600000001</v>
      </c>
      <c r="AI309" s="120"/>
      <c r="AJ309" s="121">
        <f>G309</f>
        <v>3538948.7800000003</v>
      </c>
      <c r="AK309" s="113">
        <f t="shared" si="265"/>
        <v>4402.339999999851</v>
      </c>
      <c r="AL309" s="172">
        <f t="shared" si="266"/>
        <v>4402.339999999851</v>
      </c>
      <c r="AM309" s="133"/>
      <c r="AN309" s="110"/>
      <c r="AO309" s="110"/>
      <c r="AP309" s="110"/>
      <c r="AQ309" s="110"/>
      <c r="AR309" s="170">
        <f t="shared" si="244"/>
        <v>0</v>
      </c>
      <c r="AS309" s="417">
        <f t="shared" si="268"/>
        <v>99.875757726205819</v>
      </c>
    </row>
    <row r="310" spans="1:45" ht="10.5" customHeight="1" thickBot="1">
      <c r="A310" s="435"/>
      <c r="B310" s="140"/>
      <c r="C310" s="140" t="s">
        <v>778</v>
      </c>
      <c r="D310" s="120"/>
      <c r="E310" s="120"/>
      <c r="F310" s="120"/>
      <c r="G310" s="120"/>
      <c r="H310" s="120"/>
      <c r="I310" s="320"/>
      <c r="J310" s="191"/>
      <c r="K310" s="191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91"/>
      <c r="Z310" s="191"/>
      <c r="AA310" s="191"/>
      <c r="AB310" s="191"/>
      <c r="AC310" s="191"/>
      <c r="AD310" s="191"/>
      <c r="AE310" s="191"/>
      <c r="AF310" s="191"/>
      <c r="AG310" s="316">
        <f t="shared" si="243"/>
        <v>0</v>
      </c>
      <c r="AH310" s="315">
        <f t="shared" si="241"/>
        <v>0</v>
      </c>
      <c r="AI310" s="120"/>
      <c r="AJ310" s="120"/>
      <c r="AK310" s="113"/>
      <c r="AL310" s="172"/>
      <c r="AM310" s="133"/>
      <c r="AN310" s="110"/>
      <c r="AO310" s="110"/>
      <c r="AP310" s="110"/>
      <c r="AQ310" s="110"/>
      <c r="AR310" s="170">
        <f t="shared" si="244"/>
        <v>0</v>
      </c>
      <c r="AS310" s="417" t="e">
        <f t="shared" si="268"/>
        <v>#DIV/0!</v>
      </c>
    </row>
    <row r="311" spans="1:45" ht="15.95" customHeight="1" thickBot="1">
      <c r="A311" s="425" t="s">
        <v>137</v>
      </c>
      <c r="B311" s="140"/>
      <c r="C311" s="140" t="s">
        <v>871</v>
      </c>
      <c r="D311" s="120">
        <v>114540</v>
      </c>
      <c r="E311" s="120">
        <v>114540</v>
      </c>
      <c r="F311" s="120">
        <v>66000</v>
      </c>
      <c r="G311" s="120">
        <f>2100+87000+25440</f>
        <v>114540</v>
      </c>
      <c r="H311" s="120"/>
      <c r="I311" s="320"/>
      <c r="J311" s="191"/>
      <c r="K311" s="191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X311" s="191"/>
      <c r="Y311" s="191"/>
      <c r="Z311" s="191"/>
      <c r="AA311" s="191"/>
      <c r="AB311" s="191"/>
      <c r="AC311" s="191"/>
      <c r="AD311" s="191"/>
      <c r="AE311" s="191"/>
      <c r="AF311" s="191"/>
      <c r="AG311" s="316">
        <f t="shared" si="243"/>
        <v>0</v>
      </c>
      <c r="AH311" s="315">
        <f t="shared" si="241"/>
        <v>66000</v>
      </c>
      <c r="AI311" s="120"/>
      <c r="AJ311" s="120">
        <f t="shared" ref="AJ311:AJ321" si="269">G311</f>
        <v>114540</v>
      </c>
      <c r="AK311" s="565">
        <f t="shared" ref="AK311:AK322" si="270">D311-AJ311</f>
        <v>0</v>
      </c>
      <c r="AL311" s="172">
        <f t="shared" ref="AL311:AL322" si="271">E311-AJ311</f>
        <v>0</v>
      </c>
      <c r="AM311" s="133"/>
      <c r="AN311" s="110"/>
      <c r="AO311" s="110"/>
      <c r="AP311" s="110"/>
      <c r="AQ311" s="110"/>
      <c r="AR311" s="170"/>
      <c r="AS311" s="417">
        <f t="shared" si="268"/>
        <v>100</v>
      </c>
    </row>
    <row r="312" spans="1:45" ht="17.45" hidden="1" customHeight="1" thickBot="1">
      <c r="A312" s="425" t="s">
        <v>17</v>
      </c>
      <c r="B312" s="140"/>
      <c r="C312" s="140" t="s">
        <v>121</v>
      </c>
      <c r="D312" s="120">
        <v>0</v>
      </c>
      <c r="E312" s="120">
        <v>0</v>
      </c>
      <c r="F312" s="120">
        <v>0</v>
      </c>
      <c r="G312" s="120"/>
      <c r="H312" s="120"/>
      <c r="I312" s="320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  <c r="AC312" s="191"/>
      <c r="AD312" s="191"/>
      <c r="AE312" s="191"/>
      <c r="AF312" s="191"/>
      <c r="AG312" s="316">
        <f t="shared" si="243"/>
        <v>0</v>
      </c>
      <c r="AH312" s="315">
        <f t="shared" si="241"/>
        <v>0</v>
      </c>
      <c r="AI312" s="120"/>
      <c r="AJ312" s="120">
        <f t="shared" si="269"/>
        <v>0</v>
      </c>
      <c r="AK312" s="113">
        <f t="shared" si="270"/>
        <v>0</v>
      </c>
      <c r="AL312" s="172">
        <f t="shared" si="271"/>
        <v>0</v>
      </c>
      <c r="AM312" s="133"/>
      <c r="AN312" s="110"/>
      <c r="AO312" s="110"/>
      <c r="AP312" s="110"/>
      <c r="AQ312" s="110"/>
      <c r="AR312" s="170"/>
      <c r="AS312" s="417" t="e">
        <f t="shared" si="268"/>
        <v>#DIV/0!</v>
      </c>
    </row>
    <row r="313" spans="1:45" ht="15.6" customHeight="1" thickBot="1">
      <c r="A313" s="431" t="s">
        <v>188</v>
      </c>
      <c r="B313" s="140"/>
      <c r="C313" s="140" t="s">
        <v>873</v>
      </c>
      <c r="D313" s="120">
        <v>1878200.95</v>
      </c>
      <c r="E313" s="120">
        <v>1878200.95</v>
      </c>
      <c r="F313" s="120">
        <v>330911.21000000002</v>
      </c>
      <c r="G313" s="131">
        <f>49920+109070+338065+197841.15+221950+29160+447474.8+135720+288005.9+57460</f>
        <v>1874666.85</v>
      </c>
      <c r="H313" s="120"/>
      <c r="I313" s="320">
        <v>98000</v>
      </c>
      <c r="J313" s="191"/>
      <c r="K313" s="191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  <c r="AA313" s="191"/>
      <c r="AB313" s="191"/>
      <c r="AC313" s="191"/>
      <c r="AD313" s="191"/>
      <c r="AE313" s="191"/>
      <c r="AF313" s="191"/>
      <c r="AG313" s="316">
        <f t="shared" si="243"/>
        <v>98000</v>
      </c>
      <c r="AH313" s="315">
        <f t="shared" si="241"/>
        <v>428911.21</v>
      </c>
      <c r="AI313" s="120"/>
      <c r="AJ313" s="120">
        <f t="shared" si="269"/>
        <v>1874666.85</v>
      </c>
      <c r="AK313" s="113">
        <f t="shared" si="270"/>
        <v>3534.0999999998603</v>
      </c>
      <c r="AL313" s="172">
        <f t="shared" si="271"/>
        <v>3534.0999999998603</v>
      </c>
      <c r="AM313" s="166">
        <v>700</v>
      </c>
      <c r="AN313" s="167">
        <v>1740</v>
      </c>
      <c r="AO313" s="110"/>
      <c r="AP313" s="110"/>
      <c r="AQ313" s="110"/>
      <c r="AR313" s="170">
        <f t="shared" si="244"/>
        <v>2440</v>
      </c>
      <c r="AS313" s="417">
        <f t="shared" si="268"/>
        <v>99.811835895408322</v>
      </c>
    </row>
    <row r="314" spans="1:45" ht="15" customHeight="1" thickBot="1">
      <c r="A314" s="471" t="s">
        <v>635</v>
      </c>
      <c r="B314" s="472"/>
      <c r="C314" s="472" t="s">
        <v>874</v>
      </c>
      <c r="D314" s="473">
        <v>390016</v>
      </c>
      <c r="E314" s="473">
        <v>390016</v>
      </c>
      <c r="F314" s="473">
        <v>907655.65</v>
      </c>
      <c r="G314" s="473">
        <f>60652.62+61280.53+7041.45+203363.9+57677.1</f>
        <v>390015.6</v>
      </c>
      <c r="H314" s="473"/>
      <c r="I314" s="464"/>
      <c r="J314" s="465"/>
      <c r="K314" s="465"/>
      <c r="L314" s="465"/>
      <c r="M314" s="465"/>
      <c r="N314" s="465"/>
      <c r="O314" s="465"/>
      <c r="P314" s="465"/>
      <c r="Q314" s="465"/>
      <c r="R314" s="465"/>
      <c r="S314" s="465"/>
      <c r="T314" s="465"/>
      <c r="U314" s="465"/>
      <c r="V314" s="465"/>
      <c r="W314" s="465"/>
      <c r="X314" s="465"/>
      <c r="Y314" s="465"/>
      <c r="Z314" s="465"/>
      <c r="AA314" s="465"/>
      <c r="AB314" s="465"/>
      <c r="AC314" s="465"/>
      <c r="AD314" s="465"/>
      <c r="AE314" s="465"/>
      <c r="AF314" s="465"/>
      <c r="AG314" s="466">
        <f t="shared" si="243"/>
        <v>0</v>
      </c>
      <c r="AH314" s="467">
        <f t="shared" si="241"/>
        <v>907655.65</v>
      </c>
      <c r="AI314" s="473"/>
      <c r="AJ314" s="473">
        <f t="shared" si="269"/>
        <v>390015.6</v>
      </c>
      <c r="AK314" s="474">
        <f t="shared" si="270"/>
        <v>0.40000000002328306</v>
      </c>
      <c r="AL314" s="475">
        <f t="shared" si="271"/>
        <v>0.40000000002328306</v>
      </c>
      <c r="AM314" s="166">
        <v>1782.7</v>
      </c>
      <c r="AN314" s="167">
        <v>6156</v>
      </c>
      <c r="AO314" s="110"/>
      <c r="AP314" s="110"/>
      <c r="AQ314" s="110"/>
      <c r="AR314" s="170">
        <f t="shared" si="244"/>
        <v>7938.7</v>
      </c>
      <c r="AS314" s="417">
        <f t="shared" si="268"/>
        <v>99.999897440105016</v>
      </c>
    </row>
    <row r="315" spans="1:45" ht="15.6" customHeight="1" thickBot="1">
      <c r="A315" s="425" t="s">
        <v>143</v>
      </c>
      <c r="B315" s="140"/>
      <c r="C315" s="140" t="s">
        <v>875</v>
      </c>
      <c r="D315" s="120">
        <v>59844.68</v>
      </c>
      <c r="E315" s="120">
        <v>59844.68</v>
      </c>
      <c r="F315" s="120">
        <v>36990</v>
      </c>
      <c r="G315" s="120">
        <f>8854+50990</f>
        <v>59844</v>
      </c>
      <c r="H315" s="120"/>
      <c r="I315" s="320"/>
      <c r="J315" s="191"/>
      <c r="K315" s="191"/>
      <c r="L315" s="191"/>
      <c r="M315" s="191"/>
      <c r="N315" s="191"/>
      <c r="O315" s="191"/>
      <c r="P315" s="191"/>
      <c r="Q315" s="191">
        <v>11097</v>
      </c>
      <c r="R315" s="191"/>
      <c r="S315" s="191"/>
      <c r="T315" s="191"/>
      <c r="U315" s="191">
        <v>11097</v>
      </c>
      <c r="V315" s="191">
        <v>14796</v>
      </c>
      <c r="W315" s="191"/>
      <c r="X315" s="191"/>
      <c r="Y315" s="191"/>
      <c r="Z315" s="191"/>
      <c r="AA315" s="191"/>
      <c r="AB315" s="191"/>
      <c r="AC315" s="191"/>
      <c r="AD315" s="191"/>
      <c r="AE315" s="191"/>
      <c r="AF315" s="191"/>
      <c r="AG315" s="316">
        <f t="shared" si="243"/>
        <v>36990</v>
      </c>
      <c r="AH315" s="315">
        <f t="shared" si="241"/>
        <v>73980</v>
      </c>
      <c r="AI315" s="120"/>
      <c r="AJ315" s="120">
        <f t="shared" si="269"/>
        <v>59844</v>
      </c>
      <c r="AK315" s="113">
        <f t="shared" si="270"/>
        <v>0.68000000000029104</v>
      </c>
      <c r="AL315" s="172">
        <f t="shared" si="271"/>
        <v>0.68000000000029104</v>
      </c>
      <c r="AM315" s="133"/>
      <c r="AN315" s="110"/>
      <c r="AO315" s="110"/>
      <c r="AP315" s="110"/>
      <c r="AQ315" s="110"/>
      <c r="AR315" s="170">
        <f t="shared" ref="AR315:AR365" si="272">AM315+AN315+AO315+AP315+AQ315</f>
        <v>0</v>
      </c>
      <c r="AS315" s="417">
        <f t="shared" si="268"/>
        <v>99.998863725230052</v>
      </c>
    </row>
    <row r="316" spans="1:45" ht="16.5" customHeight="1" thickBot="1">
      <c r="A316" s="425" t="s">
        <v>721</v>
      </c>
      <c r="B316" s="140"/>
      <c r="C316" s="140" t="s">
        <v>876</v>
      </c>
      <c r="D316" s="120">
        <f>SUM(D317:D321)</f>
        <v>1100749.49</v>
      </c>
      <c r="E316" s="120">
        <f>SUM(E317:E321)</f>
        <v>1100749.49</v>
      </c>
      <c r="F316" s="120">
        <f t="shared" ref="F316:G316" si="273">SUM(F317:F321)</f>
        <v>0</v>
      </c>
      <c r="G316" s="120">
        <f t="shared" si="273"/>
        <v>1099882.33</v>
      </c>
      <c r="H316" s="120"/>
      <c r="I316" s="320"/>
      <c r="J316" s="191"/>
      <c r="K316" s="191"/>
      <c r="L316" s="191"/>
      <c r="M316" s="191"/>
      <c r="N316" s="191"/>
      <c r="O316" s="191"/>
      <c r="P316" s="191"/>
      <c r="Q316" s="191">
        <v>990</v>
      </c>
      <c r="R316" s="191"/>
      <c r="S316" s="191"/>
      <c r="T316" s="191"/>
      <c r="U316" s="191">
        <v>2310</v>
      </c>
      <c r="V316" s="191"/>
      <c r="W316" s="191"/>
      <c r="X316" s="191"/>
      <c r="Y316" s="191"/>
      <c r="Z316" s="191"/>
      <c r="AA316" s="191"/>
      <c r="AB316" s="191"/>
      <c r="AC316" s="191"/>
      <c r="AD316" s="191"/>
      <c r="AE316" s="191"/>
      <c r="AF316" s="191"/>
      <c r="AG316" s="316">
        <f t="shared" si="243"/>
        <v>3300</v>
      </c>
      <c r="AH316" s="315">
        <f t="shared" si="241"/>
        <v>3300</v>
      </c>
      <c r="AI316" s="120"/>
      <c r="AJ316" s="120">
        <f t="shared" si="269"/>
        <v>1099882.33</v>
      </c>
      <c r="AK316" s="113">
        <f t="shared" si="270"/>
        <v>867.15999999991618</v>
      </c>
      <c r="AL316" s="172">
        <f t="shared" si="271"/>
        <v>867.15999999991618</v>
      </c>
      <c r="AM316" s="133"/>
      <c r="AN316" s="110"/>
      <c r="AO316" s="110"/>
      <c r="AP316" s="110"/>
      <c r="AQ316" s="110"/>
      <c r="AR316" s="170">
        <f t="shared" si="272"/>
        <v>0</v>
      </c>
      <c r="AS316" s="417">
        <f t="shared" si="268"/>
        <v>99.921220949191635</v>
      </c>
    </row>
    <row r="317" spans="1:45" ht="15.95" customHeight="1" thickBot="1">
      <c r="A317" s="425" t="s">
        <v>813</v>
      </c>
      <c r="B317" s="140"/>
      <c r="C317" s="140" t="s">
        <v>877</v>
      </c>
      <c r="D317" s="120">
        <v>298783.12</v>
      </c>
      <c r="E317" s="120">
        <v>298783.12</v>
      </c>
      <c r="F317" s="120"/>
      <c r="G317" s="120">
        <f>8100.18+34199.64+27723.1+24334.5+20151.66+35511.29+35664.13+44281.67+22712.2+45999.57</f>
        <v>298677.94</v>
      </c>
      <c r="H317" s="120"/>
      <c r="I317" s="320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  <c r="AA317" s="191"/>
      <c r="AB317" s="191"/>
      <c r="AC317" s="191"/>
      <c r="AD317" s="191"/>
      <c r="AE317" s="191"/>
      <c r="AF317" s="191"/>
      <c r="AG317" s="316"/>
      <c r="AH317" s="315"/>
      <c r="AI317" s="120"/>
      <c r="AJ317" s="120">
        <f t="shared" si="269"/>
        <v>298677.94</v>
      </c>
      <c r="AK317" s="113">
        <f t="shared" si="270"/>
        <v>105.17999999999302</v>
      </c>
      <c r="AL317" s="172">
        <f t="shared" si="271"/>
        <v>105.17999999999302</v>
      </c>
      <c r="AM317" s="133"/>
      <c r="AN317" s="110"/>
      <c r="AO317" s="110"/>
      <c r="AP317" s="110"/>
      <c r="AQ317" s="110"/>
      <c r="AR317" s="170"/>
      <c r="AS317" s="417">
        <f t="shared" si="268"/>
        <v>99.964797208088598</v>
      </c>
    </row>
    <row r="318" spans="1:45" ht="16.5" customHeight="1" thickBot="1">
      <c r="A318" s="425" t="s">
        <v>814</v>
      </c>
      <c r="B318" s="140"/>
      <c r="C318" s="140" t="s">
        <v>878</v>
      </c>
      <c r="D318" s="120">
        <v>216800</v>
      </c>
      <c r="E318" s="120">
        <v>216800</v>
      </c>
      <c r="F318" s="120"/>
      <c r="G318" s="120">
        <f>37195.2+38880+80000+60000</f>
        <v>216075.2</v>
      </c>
      <c r="H318" s="575"/>
      <c r="I318" s="320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  <c r="AA318" s="191"/>
      <c r="AB318" s="191"/>
      <c r="AC318" s="191"/>
      <c r="AD318" s="191"/>
      <c r="AE318" s="191"/>
      <c r="AF318" s="191"/>
      <c r="AG318" s="316"/>
      <c r="AH318" s="315"/>
      <c r="AI318" s="120"/>
      <c r="AJ318" s="120">
        <f t="shared" si="269"/>
        <v>216075.2</v>
      </c>
      <c r="AK318" s="113">
        <f t="shared" si="270"/>
        <v>724.79999999998836</v>
      </c>
      <c r="AL318" s="172">
        <f t="shared" si="271"/>
        <v>724.79999999998836</v>
      </c>
      <c r="AM318" s="133"/>
      <c r="AN318" s="110"/>
      <c r="AO318" s="110"/>
      <c r="AP318" s="110"/>
      <c r="AQ318" s="110"/>
      <c r="AR318" s="170"/>
      <c r="AS318" s="417">
        <f t="shared" si="268"/>
        <v>99.665682656826576</v>
      </c>
    </row>
    <row r="319" spans="1:45" ht="16.5" customHeight="1" thickBot="1">
      <c r="A319" s="425" t="s">
        <v>804</v>
      </c>
      <c r="B319" s="140"/>
      <c r="C319" s="140" t="s">
        <v>879</v>
      </c>
      <c r="D319" s="120">
        <v>8146.37</v>
      </c>
      <c r="E319" s="120">
        <v>8146.37</v>
      </c>
      <c r="F319" s="120"/>
      <c r="G319" s="120">
        <v>8146.37</v>
      </c>
      <c r="H319" s="120"/>
      <c r="I319" s="320"/>
      <c r="J319" s="191"/>
      <c r="K319" s="191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  <c r="AA319" s="191"/>
      <c r="AB319" s="191"/>
      <c r="AC319" s="191"/>
      <c r="AD319" s="191"/>
      <c r="AE319" s="191"/>
      <c r="AF319" s="191"/>
      <c r="AG319" s="316"/>
      <c r="AH319" s="315"/>
      <c r="AI319" s="120"/>
      <c r="AJ319" s="120">
        <f t="shared" si="269"/>
        <v>8146.37</v>
      </c>
      <c r="AK319" s="113">
        <f t="shared" si="270"/>
        <v>0</v>
      </c>
      <c r="AL319" s="172">
        <f t="shared" si="271"/>
        <v>0</v>
      </c>
      <c r="AM319" s="133"/>
      <c r="AN319" s="110"/>
      <c r="AO319" s="110"/>
      <c r="AP319" s="110"/>
      <c r="AQ319" s="110"/>
      <c r="AR319" s="170"/>
      <c r="AS319" s="417">
        <f t="shared" si="268"/>
        <v>100</v>
      </c>
    </row>
    <row r="320" spans="1:45" ht="21" customHeight="1" thickBot="1">
      <c r="A320" s="425" t="s">
        <v>319</v>
      </c>
      <c r="B320" s="140"/>
      <c r="C320" s="140" t="s">
        <v>880</v>
      </c>
      <c r="D320" s="120">
        <v>517020</v>
      </c>
      <c r="E320" s="120">
        <v>517020</v>
      </c>
      <c r="F320" s="120"/>
      <c r="G320" s="120">
        <f>289175.02+32970+43264+55028+15900+21982+14900.8+43800</f>
        <v>517019.82</v>
      </c>
      <c r="H320" s="120"/>
      <c r="I320" s="320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  <c r="AA320" s="191"/>
      <c r="AB320" s="191"/>
      <c r="AC320" s="191"/>
      <c r="AD320" s="191"/>
      <c r="AE320" s="191"/>
      <c r="AF320" s="191"/>
      <c r="AG320" s="316"/>
      <c r="AH320" s="315"/>
      <c r="AI320" s="120"/>
      <c r="AJ320" s="120">
        <f t="shared" si="269"/>
        <v>517019.82</v>
      </c>
      <c r="AK320" s="113">
        <f t="shared" si="270"/>
        <v>0.17999999999301508</v>
      </c>
      <c r="AL320" s="172">
        <f t="shared" si="271"/>
        <v>0.17999999999301508</v>
      </c>
      <c r="AM320" s="133"/>
      <c r="AN320" s="110"/>
      <c r="AO320" s="110"/>
      <c r="AP320" s="110"/>
      <c r="AQ320" s="110"/>
      <c r="AR320" s="170"/>
      <c r="AS320" s="417">
        <f t="shared" si="268"/>
        <v>99.999965185099228</v>
      </c>
    </row>
    <row r="321" spans="1:45" ht="23.45" customHeight="1" thickBot="1">
      <c r="A321" s="425" t="s">
        <v>314</v>
      </c>
      <c r="B321" s="140"/>
      <c r="C321" s="140" t="s">
        <v>881</v>
      </c>
      <c r="D321" s="120">
        <v>60000</v>
      </c>
      <c r="E321" s="120">
        <v>60000</v>
      </c>
      <c r="F321" s="120"/>
      <c r="G321" s="120">
        <f>33060+26903</f>
        <v>59963</v>
      </c>
      <c r="H321" s="120"/>
      <c r="I321" s="320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  <c r="AA321" s="191"/>
      <c r="AB321" s="191"/>
      <c r="AC321" s="191"/>
      <c r="AD321" s="191"/>
      <c r="AE321" s="191"/>
      <c r="AF321" s="191"/>
      <c r="AG321" s="316"/>
      <c r="AH321" s="315"/>
      <c r="AI321" s="120"/>
      <c r="AJ321" s="120">
        <f t="shared" si="269"/>
        <v>59963</v>
      </c>
      <c r="AK321" s="113">
        <f t="shared" si="270"/>
        <v>37</v>
      </c>
      <c r="AL321" s="172">
        <f t="shared" si="271"/>
        <v>37</v>
      </c>
      <c r="AM321" s="133"/>
      <c r="AN321" s="110"/>
      <c r="AO321" s="110"/>
      <c r="AP321" s="110"/>
      <c r="AQ321" s="110"/>
      <c r="AR321" s="170"/>
      <c r="AS321" s="417">
        <f t="shared" si="268"/>
        <v>99.938333333333333</v>
      </c>
    </row>
    <row r="322" spans="1:45" ht="15" hidden="1" customHeight="1" thickBot="1">
      <c r="A322" s="398" t="s">
        <v>760</v>
      </c>
      <c r="B322" s="142"/>
      <c r="C322" s="142" t="s">
        <v>493</v>
      </c>
      <c r="D322" s="121">
        <f>SUM(D324:D326)</f>
        <v>0</v>
      </c>
      <c r="E322" s="121">
        <f>SUM(E324:E326)</f>
        <v>0</v>
      </c>
      <c r="F322" s="121">
        <f>SUM(F324:F326)</f>
        <v>39750</v>
      </c>
      <c r="G322" s="121">
        <f>SUM(G324:G326)</f>
        <v>0</v>
      </c>
      <c r="H322" s="121"/>
      <c r="I322" s="323"/>
      <c r="J322" s="191"/>
      <c r="K322" s="191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  <c r="Z322" s="191"/>
      <c r="AA322" s="191"/>
      <c r="AB322" s="191"/>
      <c r="AC322" s="191"/>
      <c r="AD322" s="191"/>
      <c r="AE322" s="191"/>
      <c r="AF322" s="191"/>
      <c r="AG322" s="316">
        <f t="shared" si="243"/>
        <v>0</v>
      </c>
      <c r="AH322" s="315">
        <f t="shared" si="241"/>
        <v>39750</v>
      </c>
      <c r="AI322" s="120"/>
      <c r="AJ322" s="121">
        <f>G322</f>
        <v>0</v>
      </c>
      <c r="AK322" s="113">
        <f t="shared" si="270"/>
        <v>0</v>
      </c>
      <c r="AL322" s="172">
        <f t="shared" si="271"/>
        <v>0</v>
      </c>
      <c r="AM322" s="133"/>
      <c r="AN322" s="110"/>
      <c r="AO322" s="110"/>
      <c r="AP322" s="110"/>
      <c r="AQ322" s="110"/>
      <c r="AR322" s="170">
        <f t="shared" si="272"/>
        <v>0</v>
      </c>
      <c r="AS322" s="417" t="e">
        <f t="shared" si="268"/>
        <v>#DIV/0!</v>
      </c>
    </row>
    <row r="323" spans="1:45" ht="12.75" hidden="1" customHeight="1" thickBot="1">
      <c r="A323" s="425"/>
      <c r="B323" s="140"/>
      <c r="C323" s="140" t="s">
        <v>778</v>
      </c>
      <c r="D323" s="120"/>
      <c r="E323" s="120"/>
      <c r="F323" s="120"/>
      <c r="G323" s="120"/>
      <c r="H323" s="120"/>
      <c r="I323" s="320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  <c r="Z323" s="191"/>
      <c r="AA323" s="191"/>
      <c r="AB323" s="191"/>
      <c r="AC323" s="191"/>
      <c r="AD323" s="191"/>
      <c r="AE323" s="191"/>
      <c r="AF323" s="191"/>
      <c r="AG323" s="316">
        <f t="shared" si="243"/>
        <v>0</v>
      </c>
      <c r="AH323" s="315">
        <f t="shared" si="241"/>
        <v>0</v>
      </c>
      <c r="AI323" s="120"/>
      <c r="AJ323" s="113"/>
      <c r="AK323" s="113"/>
      <c r="AL323" s="172"/>
      <c r="AM323" s="133"/>
      <c r="AN323" s="110"/>
      <c r="AO323" s="110"/>
      <c r="AP323" s="110"/>
      <c r="AQ323" s="110"/>
      <c r="AR323" s="170">
        <f t="shared" si="272"/>
        <v>0</v>
      </c>
      <c r="AS323" s="417" t="e">
        <f t="shared" si="268"/>
        <v>#DIV/0!</v>
      </c>
    </row>
    <row r="324" spans="1:45" ht="18" hidden="1" customHeight="1" thickBot="1">
      <c r="A324" s="425" t="s">
        <v>674</v>
      </c>
      <c r="B324" s="140"/>
      <c r="C324" s="140" t="s">
        <v>702</v>
      </c>
      <c r="D324" s="120">
        <v>0</v>
      </c>
      <c r="E324" s="120">
        <v>0</v>
      </c>
      <c r="F324" s="120">
        <v>37750</v>
      </c>
      <c r="G324" s="120">
        <v>0</v>
      </c>
      <c r="H324" s="120"/>
      <c r="I324" s="320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  <c r="Z324" s="191"/>
      <c r="AA324" s="191"/>
      <c r="AB324" s="191"/>
      <c r="AC324" s="191"/>
      <c r="AD324" s="191"/>
      <c r="AE324" s="191"/>
      <c r="AF324" s="191"/>
      <c r="AG324" s="316">
        <f t="shared" si="243"/>
        <v>0</v>
      </c>
      <c r="AH324" s="315">
        <f t="shared" si="241"/>
        <v>37750</v>
      </c>
      <c r="AI324" s="120"/>
      <c r="AJ324" s="120">
        <f>G324</f>
        <v>0</v>
      </c>
      <c r="AK324" s="113">
        <f>D324-AJ324</f>
        <v>0</v>
      </c>
      <c r="AL324" s="172">
        <f>E324-AJ324</f>
        <v>0</v>
      </c>
      <c r="AM324" s="133"/>
      <c r="AN324" s="110"/>
      <c r="AO324" s="110"/>
      <c r="AP324" s="110"/>
      <c r="AQ324" s="110"/>
      <c r="AR324" s="170"/>
      <c r="AS324" s="417" t="e">
        <f t="shared" si="268"/>
        <v>#DIV/0!</v>
      </c>
    </row>
    <row r="325" spans="1:45" ht="15" hidden="1" customHeight="1" thickBot="1">
      <c r="A325" s="431" t="s">
        <v>188</v>
      </c>
      <c r="B325" s="140"/>
      <c r="C325" s="140" t="s">
        <v>494</v>
      </c>
      <c r="D325" s="120">
        <v>0</v>
      </c>
      <c r="E325" s="120">
        <v>0</v>
      </c>
      <c r="F325" s="120">
        <v>0</v>
      </c>
      <c r="G325" s="120">
        <v>0</v>
      </c>
      <c r="H325" s="120"/>
      <c r="I325" s="320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  <c r="Z325" s="191"/>
      <c r="AA325" s="191"/>
      <c r="AB325" s="191"/>
      <c r="AC325" s="191"/>
      <c r="AD325" s="191"/>
      <c r="AE325" s="191"/>
      <c r="AF325" s="191"/>
      <c r="AG325" s="316">
        <f t="shared" si="243"/>
        <v>0</v>
      </c>
      <c r="AH325" s="315">
        <f t="shared" si="241"/>
        <v>0</v>
      </c>
      <c r="AI325" s="120"/>
      <c r="AJ325" s="120">
        <f>G325</f>
        <v>0</v>
      </c>
      <c r="AK325" s="113">
        <f>D325-AJ325</f>
        <v>0</v>
      </c>
      <c r="AL325" s="172">
        <f>E325-AJ325</f>
        <v>0</v>
      </c>
      <c r="AM325" s="133"/>
      <c r="AN325" s="110"/>
      <c r="AO325" s="110"/>
      <c r="AP325" s="110"/>
      <c r="AQ325" s="110"/>
      <c r="AR325" s="170">
        <f t="shared" si="272"/>
        <v>0</v>
      </c>
      <c r="AS325" s="417" t="e">
        <f t="shared" si="268"/>
        <v>#DIV/0!</v>
      </c>
    </row>
    <row r="326" spans="1:45" ht="15.95" hidden="1" customHeight="1" thickBot="1">
      <c r="A326" s="425" t="s">
        <v>721</v>
      </c>
      <c r="B326" s="140"/>
      <c r="C326" s="140" t="s">
        <v>495</v>
      </c>
      <c r="D326" s="120">
        <v>0</v>
      </c>
      <c r="E326" s="120">
        <v>0</v>
      </c>
      <c r="F326" s="120">
        <v>2000</v>
      </c>
      <c r="G326" s="120">
        <v>0</v>
      </c>
      <c r="H326" s="120"/>
      <c r="I326" s="320"/>
      <c r="J326" s="191"/>
      <c r="K326" s="191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  <c r="Z326" s="191"/>
      <c r="AA326" s="191"/>
      <c r="AB326" s="191"/>
      <c r="AC326" s="191"/>
      <c r="AD326" s="191"/>
      <c r="AE326" s="191"/>
      <c r="AF326" s="191"/>
      <c r="AG326" s="316">
        <f t="shared" si="243"/>
        <v>0</v>
      </c>
      <c r="AH326" s="315">
        <f t="shared" si="241"/>
        <v>2000</v>
      </c>
      <c r="AI326" s="120"/>
      <c r="AJ326" s="120">
        <f>G326</f>
        <v>0</v>
      </c>
      <c r="AK326" s="113">
        <f>D326-AJ326</f>
        <v>0</v>
      </c>
      <c r="AL326" s="172">
        <f>E326-AJ326</f>
        <v>0</v>
      </c>
      <c r="AM326" s="133"/>
      <c r="AN326" s="110"/>
      <c r="AO326" s="110"/>
      <c r="AP326" s="110"/>
      <c r="AQ326" s="110"/>
      <c r="AR326" s="170">
        <f t="shared" si="272"/>
        <v>0</v>
      </c>
      <c r="AS326" s="417" t="e">
        <f t="shared" si="268"/>
        <v>#DIV/0!</v>
      </c>
    </row>
    <row r="327" spans="1:45" ht="22.5" customHeight="1" thickBot="1">
      <c r="A327" s="398" t="s">
        <v>1027</v>
      </c>
      <c r="B327" s="142"/>
      <c r="C327" s="142" t="s">
        <v>968</v>
      </c>
      <c r="D327" s="121">
        <f>SUM(D329:D332)</f>
        <v>757558.39</v>
      </c>
      <c r="E327" s="121">
        <f>SUM(E329:E332)</f>
        <v>757558.39</v>
      </c>
      <c r="F327" s="121">
        <f t="shared" ref="F327:G327" si="274">SUM(F329:F332)</f>
        <v>0</v>
      </c>
      <c r="G327" s="121">
        <f t="shared" si="274"/>
        <v>757558.39</v>
      </c>
      <c r="H327" s="121"/>
      <c r="I327" s="323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  <c r="Z327" s="191"/>
      <c r="AA327" s="191"/>
      <c r="AB327" s="191"/>
      <c r="AC327" s="191"/>
      <c r="AD327" s="191"/>
      <c r="AE327" s="191"/>
      <c r="AF327" s="191"/>
      <c r="AG327" s="316">
        <f t="shared" si="243"/>
        <v>0</v>
      </c>
      <c r="AH327" s="315">
        <f t="shared" si="241"/>
        <v>0</v>
      </c>
      <c r="AI327" s="120"/>
      <c r="AJ327" s="121">
        <f>G327</f>
        <v>757558.39</v>
      </c>
      <c r="AK327" s="113">
        <f>D327-AJ327</f>
        <v>0</v>
      </c>
      <c r="AL327" s="172">
        <f>E327-AJ327</f>
        <v>0</v>
      </c>
      <c r="AM327" s="133"/>
      <c r="AN327" s="110"/>
      <c r="AO327" s="110"/>
      <c r="AP327" s="110"/>
      <c r="AQ327" s="110"/>
      <c r="AR327" s="170">
        <f t="shared" si="272"/>
        <v>0</v>
      </c>
      <c r="AS327" s="417">
        <f t="shared" si="268"/>
        <v>100</v>
      </c>
    </row>
    <row r="328" spans="1:45" ht="12" customHeight="1" thickBot="1">
      <c r="A328" s="425"/>
      <c r="B328" s="140"/>
      <c r="C328" s="140" t="s">
        <v>778</v>
      </c>
      <c r="D328" s="120"/>
      <c r="E328" s="120"/>
      <c r="F328" s="120"/>
      <c r="G328" s="120"/>
      <c r="H328" s="120"/>
      <c r="I328" s="320"/>
      <c r="J328" s="191"/>
      <c r="K328" s="191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  <c r="Z328" s="191"/>
      <c r="AA328" s="191"/>
      <c r="AB328" s="191"/>
      <c r="AC328" s="191"/>
      <c r="AD328" s="191"/>
      <c r="AE328" s="191"/>
      <c r="AF328" s="191"/>
      <c r="AG328" s="316">
        <f t="shared" si="243"/>
        <v>0</v>
      </c>
      <c r="AH328" s="315">
        <f t="shared" si="241"/>
        <v>0</v>
      </c>
      <c r="AI328" s="120"/>
      <c r="AJ328" s="113"/>
      <c r="AK328" s="113"/>
      <c r="AL328" s="172"/>
      <c r="AM328" s="133"/>
      <c r="AN328" s="110"/>
      <c r="AO328" s="110"/>
      <c r="AP328" s="110"/>
      <c r="AQ328" s="110"/>
      <c r="AR328" s="170">
        <f t="shared" si="272"/>
        <v>0</v>
      </c>
      <c r="AS328" s="417" t="e">
        <f t="shared" si="268"/>
        <v>#DIV/0!</v>
      </c>
    </row>
    <row r="329" spans="1:45" ht="17.45" customHeight="1" thickBot="1">
      <c r="A329" s="431" t="s">
        <v>188</v>
      </c>
      <c r="B329" s="140"/>
      <c r="C329" s="140" t="s">
        <v>1025</v>
      </c>
      <c r="D329" s="120">
        <v>687358.39</v>
      </c>
      <c r="E329" s="120">
        <v>687358.39</v>
      </c>
      <c r="F329" s="120"/>
      <c r="G329" s="120">
        <f>404647.68+282710.71</f>
        <v>687358.39</v>
      </c>
      <c r="H329" s="120"/>
      <c r="I329" s="320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  <c r="AB329" s="191"/>
      <c r="AC329" s="191"/>
      <c r="AD329" s="191"/>
      <c r="AE329" s="191"/>
      <c r="AF329" s="191"/>
      <c r="AG329" s="316">
        <f t="shared" si="243"/>
        <v>0</v>
      </c>
      <c r="AH329" s="315">
        <f t="shared" si="241"/>
        <v>0</v>
      </c>
      <c r="AI329" s="120"/>
      <c r="AJ329" s="120">
        <f>G329</f>
        <v>687358.39</v>
      </c>
      <c r="AK329" s="113">
        <f t="shared" ref="AK329:AK359" si="275">D329-AJ329</f>
        <v>0</v>
      </c>
      <c r="AL329" s="172">
        <f t="shared" ref="AL329:AL359" si="276">E329-AJ329</f>
        <v>0</v>
      </c>
      <c r="AM329" s="133"/>
      <c r="AN329" s="110"/>
      <c r="AO329" s="110"/>
      <c r="AP329" s="110"/>
      <c r="AQ329" s="110"/>
      <c r="AR329" s="170">
        <f t="shared" si="272"/>
        <v>0</v>
      </c>
      <c r="AS329" s="417">
        <f t="shared" si="268"/>
        <v>100</v>
      </c>
    </row>
    <row r="330" spans="1:45" ht="0.6" hidden="1" customHeight="1" thickBot="1">
      <c r="A330" s="431" t="s">
        <v>140</v>
      </c>
      <c r="B330" s="140"/>
      <c r="C330" s="140" t="s">
        <v>1026</v>
      </c>
      <c r="D330" s="120">
        <v>0</v>
      </c>
      <c r="E330" s="120">
        <v>0</v>
      </c>
      <c r="F330" s="120"/>
      <c r="G330" s="120"/>
      <c r="H330" s="120"/>
      <c r="I330" s="320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316">
        <f t="shared" si="243"/>
        <v>0</v>
      </c>
      <c r="AH330" s="315">
        <f t="shared" ref="AH330:AH419" si="277">F330+AG330</f>
        <v>0</v>
      </c>
      <c r="AI330" s="120"/>
      <c r="AJ330" s="120">
        <f t="shared" ref="AJ330:AJ333" si="278">G330</f>
        <v>0</v>
      </c>
      <c r="AK330" s="113">
        <f t="shared" si="275"/>
        <v>0</v>
      </c>
      <c r="AL330" s="172">
        <f t="shared" si="276"/>
        <v>0</v>
      </c>
      <c r="AM330" s="133"/>
      <c r="AN330" s="110"/>
      <c r="AO330" s="110"/>
      <c r="AP330" s="110"/>
      <c r="AQ330" s="110"/>
      <c r="AR330" s="170">
        <f t="shared" si="272"/>
        <v>0</v>
      </c>
      <c r="AS330" s="417" t="e">
        <f t="shared" si="268"/>
        <v>#DIV/0!</v>
      </c>
    </row>
    <row r="331" spans="1:45" ht="15" customHeight="1" thickBot="1">
      <c r="A331" s="425" t="s">
        <v>143</v>
      </c>
      <c r="B331" s="140"/>
      <c r="C331" s="140" t="s">
        <v>967</v>
      </c>
      <c r="D331" s="120">
        <v>63600</v>
      </c>
      <c r="E331" s="120">
        <v>63600</v>
      </c>
      <c r="F331" s="120">
        <v>0</v>
      </c>
      <c r="G331" s="120">
        <v>63600</v>
      </c>
      <c r="H331" s="120"/>
      <c r="I331" s="320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316">
        <f t="shared" ref="AG331:AG419" si="279">SUM(I331:AF331)</f>
        <v>0</v>
      </c>
      <c r="AH331" s="315">
        <f t="shared" si="277"/>
        <v>0</v>
      </c>
      <c r="AI331" s="120"/>
      <c r="AJ331" s="120">
        <f t="shared" si="278"/>
        <v>63600</v>
      </c>
      <c r="AK331" s="113">
        <f t="shared" si="275"/>
        <v>0</v>
      </c>
      <c r="AL331" s="172">
        <f t="shared" si="276"/>
        <v>0</v>
      </c>
      <c r="AM331" s="133"/>
      <c r="AN331" s="110"/>
      <c r="AO331" s="110"/>
      <c r="AP331" s="110"/>
      <c r="AQ331" s="110"/>
      <c r="AR331" s="170">
        <f t="shared" si="272"/>
        <v>0</v>
      </c>
      <c r="AS331" s="417">
        <f t="shared" si="268"/>
        <v>100</v>
      </c>
    </row>
    <row r="332" spans="1:45" ht="15.95" customHeight="1" thickBot="1">
      <c r="A332" s="425" t="s">
        <v>721</v>
      </c>
      <c r="B332" s="140"/>
      <c r="C332" s="140" t="s">
        <v>1032</v>
      </c>
      <c r="D332" s="120">
        <f>D333</f>
        <v>6600</v>
      </c>
      <c r="E332" s="120">
        <f>E333</f>
        <v>6600</v>
      </c>
      <c r="F332" s="120"/>
      <c r="G332" s="120">
        <f>G333</f>
        <v>6600</v>
      </c>
      <c r="H332" s="120"/>
      <c r="I332" s="320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316"/>
      <c r="AH332" s="315"/>
      <c r="AI332" s="120"/>
      <c r="AJ332" s="120">
        <f t="shared" si="278"/>
        <v>6600</v>
      </c>
      <c r="AK332" s="113">
        <f t="shared" si="275"/>
        <v>0</v>
      </c>
      <c r="AL332" s="172">
        <f t="shared" si="276"/>
        <v>0</v>
      </c>
      <c r="AM332" s="133"/>
      <c r="AN332" s="110"/>
      <c r="AO332" s="110"/>
      <c r="AP332" s="110"/>
      <c r="AQ332" s="110"/>
      <c r="AR332" s="170"/>
    </row>
    <row r="333" spans="1:45" ht="14.1" customHeight="1" thickBot="1">
      <c r="A333" s="425" t="s">
        <v>319</v>
      </c>
      <c r="B333" s="140"/>
      <c r="C333" s="140" t="s">
        <v>1031</v>
      </c>
      <c r="D333" s="120">
        <v>6600</v>
      </c>
      <c r="E333" s="120">
        <v>6600</v>
      </c>
      <c r="F333" s="120"/>
      <c r="G333" s="120">
        <v>6600</v>
      </c>
      <c r="H333" s="120"/>
      <c r="I333" s="320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316"/>
      <c r="AH333" s="315"/>
      <c r="AI333" s="120"/>
      <c r="AJ333" s="120">
        <f t="shared" si="278"/>
        <v>6600</v>
      </c>
      <c r="AK333" s="113">
        <f t="shared" si="275"/>
        <v>0</v>
      </c>
      <c r="AL333" s="172">
        <f t="shared" si="276"/>
        <v>0</v>
      </c>
      <c r="AM333" s="133"/>
      <c r="AN333" s="110"/>
      <c r="AO333" s="110"/>
      <c r="AP333" s="110"/>
      <c r="AQ333" s="110"/>
      <c r="AR333" s="170"/>
    </row>
    <row r="334" spans="1:45" ht="18" customHeight="1" thickBot="1">
      <c r="A334" s="398" t="s">
        <v>937</v>
      </c>
      <c r="B334" s="140"/>
      <c r="C334" s="142" t="s">
        <v>938</v>
      </c>
      <c r="D334" s="121">
        <f>SUM(D336:D339)</f>
        <v>277777.74</v>
      </c>
      <c r="E334" s="121">
        <f>SUM(E336:E339)</f>
        <v>277777.74</v>
      </c>
      <c r="F334" s="121">
        <f t="shared" ref="F334:G334" si="280">SUM(F336:F339)</f>
        <v>356121.21</v>
      </c>
      <c r="G334" s="121">
        <f t="shared" si="280"/>
        <v>277777.74</v>
      </c>
      <c r="H334" s="121"/>
      <c r="I334" s="323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316">
        <f t="shared" ref="AG334:AG337" si="281">SUM(I334:AF334)</f>
        <v>0</v>
      </c>
      <c r="AH334" s="315">
        <f t="shared" si="277"/>
        <v>356121.21</v>
      </c>
      <c r="AI334" s="120"/>
      <c r="AJ334" s="121">
        <f>G334</f>
        <v>277777.74</v>
      </c>
      <c r="AK334" s="113">
        <f t="shared" si="275"/>
        <v>0</v>
      </c>
      <c r="AL334" s="172">
        <f t="shared" si="276"/>
        <v>0</v>
      </c>
      <c r="AM334" s="133"/>
      <c r="AN334" s="110"/>
      <c r="AO334" s="110"/>
      <c r="AP334" s="110"/>
      <c r="AQ334" s="110"/>
      <c r="AR334" s="170">
        <f t="shared" si="272"/>
        <v>0</v>
      </c>
      <c r="AS334" s="417">
        <f t="shared" ref="AS334:AS337" si="282">G334/E334*100</f>
        <v>100</v>
      </c>
    </row>
    <row r="335" spans="1:45" ht="11.45" customHeight="1" thickBot="1">
      <c r="A335" s="435"/>
      <c r="B335" s="140"/>
      <c r="C335" s="140" t="s">
        <v>778</v>
      </c>
      <c r="D335" s="120"/>
      <c r="E335" s="120"/>
      <c r="F335" s="120"/>
      <c r="G335" s="120"/>
      <c r="H335" s="120"/>
      <c r="I335" s="320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316">
        <f t="shared" si="281"/>
        <v>0</v>
      </c>
      <c r="AH335" s="315">
        <f t="shared" si="277"/>
        <v>0</v>
      </c>
      <c r="AI335" s="120"/>
      <c r="AJ335" s="120"/>
      <c r="AK335" s="113"/>
      <c r="AL335" s="172"/>
      <c r="AM335" s="133"/>
      <c r="AN335" s="110"/>
      <c r="AO335" s="110"/>
      <c r="AP335" s="110"/>
      <c r="AQ335" s="110"/>
      <c r="AR335" s="170">
        <f t="shared" si="272"/>
        <v>0</v>
      </c>
      <c r="AS335" s="417" t="e">
        <f t="shared" si="282"/>
        <v>#DIV/0!</v>
      </c>
    </row>
    <row r="336" spans="1:45" ht="0.95" hidden="1" customHeight="1" thickBot="1">
      <c r="A336" s="425" t="s">
        <v>17</v>
      </c>
      <c r="B336" s="140"/>
      <c r="C336" s="140" t="s">
        <v>121</v>
      </c>
      <c r="D336" s="120">
        <v>0</v>
      </c>
      <c r="E336" s="120">
        <v>0</v>
      </c>
      <c r="F336" s="120">
        <v>0</v>
      </c>
      <c r="G336" s="120"/>
      <c r="H336" s="120"/>
      <c r="I336" s="320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316">
        <f t="shared" si="281"/>
        <v>0</v>
      </c>
      <c r="AH336" s="315">
        <f t="shared" si="277"/>
        <v>0</v>
      </c>
      <c r="AI336" s="120"/>
      <c r="AJ336" s="120">
        <f t="shared" ref="AJ336:AJ341" si="283">G336</f>
        <v>0</v>
      </c>
      <c r="AK336" s="113">
        <f t="shared" ref="AK336:AK341" si="284">D336-AJ336</f>
        <v>0</v>
      </c>
      <c r="AL336" s="172">
        <f t="shared" ref="AL336:AL341" si="285">E336-AJ336</f>
        <v>0</v>
      </c>
      <c r="AM336" s="133"/>
      <c r="AN336" s="110"/>
      <c r="AO336" s="110"/>
      <c r="AP336" s="110"/>
      <c r="AQ336" s="110"/>
      <c r="AR336" s="170"/>
      <c r="AS336" s="417" t="e">
        <f t="shared" si="282"/>
        <v>#DIV/0!</v>
      </c>
    </row>
    <row r="337" spans="1:45" ht="18.600000000000001" hidden="1" customHeight="1" thickBot="1">
      <c r="A337" s="431" t="s">
        <v>188</v>
      </c>
      <c r="B337" s="140"/>
      <c r="C337" s="140" t="s">
        <v>939</v>
      </c>
      <c r="D337" s="120">
        <v>0</v>
      </c>
      <c r="E337" s="120">
        <v>0</v>
      </c>
      <c r="F337" s="120">
        <v>330911.21000000002</v>
      </c>
      <c r="G337" s="131">
        <v>0</v>
      </c>
      <c r="H337" s="120"/>
      <c r="I337" s="320">
        <v>98000</v>
      </c>
      <c r="J337" s="191"/>
      <c r="K337" s="191"/>
      <c r="L337" s="191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  <c r="AC337" s="191"/>
      <c r="AD337" s="191"/>
      <c r="AE337" s="191"/>
      <c r="AF337" s="191"/>
      <c r="AG337" s="316">
        <f t="shared" si="281"/>
        <v>98000</v>
      </c>
      <c r="AH337" s="315">
        <f t="shared" si="277"/>
        <v>428911.21</v>
      </c>
      <c r="AI337" s="120"/>
      <c r="AJ337" s="120">
        <f t="shared" si="283"/>
        <v>0</v>
      </c>
      <c r="AK337" s="113">
        <f t="shared" si="284"/>
        <v>0</v>
      </c>
      <c r="AL337" s="172">
        <f t="shared" si="285"/>
        <v>0</v>
      </c>
      <c r="AM337" s="166">
        <v>700</v>
      </c>
      <c r="AN337" s="167">
        <v>1740</v>
      </c>
      <c r="AO337" s="110"/>
      <c r="AP337" s="110"/>
      <c r="AQ337" s="110"/>
      <c r="AR337" s="170">
        <f t="shared" ref="AR337" si="286">AM337+AN337+AO337+AP337+AQ337</f>
        <v>2440</v>
      </c>
      <c r="AS337" s="417" t="e">
        <f t="shared" si="282"/>
        <v>#DIV/0!</v>
      </c>
    </row>
    <row r="338" spans="1:45" ht="18.75" customHeight="1" thickBot="1">
      <c r="A338" s="425" t="s">
        <v>143</v>
      </c>
      <c r="B338" s="140"/>
      <c r="C338" s="140" t="s">
        <v>947</v>
      </c>
      <c r="D338" s="120">
        <v>133960</v>
      </c>
      <c r="E338" s="120">
        <v>133960</v>
      </c>
      <c r="F338" s="120"/>
      <c r="G338" s="131">
        <f>51980+81980</f>
        <v>133960</v>
      </c>
      <c r="H338" s="120"/>
      <c r="I338" s="320"/>
      <c r="J338" s="191"/>
      <c r="K338" s="191"/>
      <c r="L338" s="191"/>
      <c r="M338" s="191"/>
      <c r="N338" s="191"/>
      <c r="O338" s="191"/>
      <c r="P338" s="191"/>
      <c r="Q338" s="191"/>
      <c r="R338" s="191"/>
      <c r="S338" s="191"/>
      <c r="T338" s="191"/>
      <c r="U338" s="191"/>
      <c r="V338" s="191"/>
      <c r="W338" s="191"/>
      <c r="X338" s="191"/>
      <c r="Y338" s="191"/>
      <c r="Z338" s="191"/>
      <c r="AA338" s="191"/>
      <c r="AB338" s="191"/>
      <c r="AC338" s="191"/>
      <c r="AD338" s="191"/>
      <c r="AE338" s="191"/>
      <c r="AF338" s="191"/>
      <c r="AG338" s="316"/>
      <c r="AH338" s="315"/>
      <c r="AI338" s="120"/>
      <c r="AJ338" s="120">
        <f t="shared" si="283"/>
        <v>133960</v>
      </c>
      <c r="AK338" s="113">
        <f t="shared" si="284"/>
        <v>0</v>
      </c>
      <c r="AL338" s="172">
        <f t="shared" si="285"/>
        <v>0</v>
      </c>
      <c r="AM338" s="166"/>
      <c r="AN338" s="167"/>
      <c r="AO338" s="110"/>
      <c r="AP338" s="110"/>
      <c r="AQ338" s="110"/>
      <c r="AR338" s="170"/>
    </row>
    <row r="339" spans="1:45" ht="14.25" customHeight="1" thickBot="1">
      <c r="A339" s="425" t="s">
        <v>721</v>
      </c>
      <c r="B339" s="140"/>
      <c r="C339" s="140" t="s">
        <v>949</v>
      </c>
      <c r="D339" s="120">
        <f>D341+D340</f>
        <v>143817.74</v>
      </c>
      <c r="E339" s="120">
        <f>E341+E340</f>
        <v>143817.74</v>
      </c>
      <c r="F339" s="120">
        <f t="shared" ref="F339" si="287">F341+F340</f>
        <v>25210</v>
      </c>
      <c r="G339" s="120">
        <f>G340+G341</f>
        <v>143817.74</v>
      </c>
      <c r="H339" s="120"/>
      <c r="I339" s="320"/>
      <c r="J339" s="191"/>
      <c r="K339" s="191"/>
      <c r="L339" s="191"/>
      <c r="M339" s="191"/>
      <c r="N339" s="191"/>
      <c r="O339" s="191"/>
      <c r="P339" s="191"/>
      <c r="Q339" s="191"/>
      <c r="R339" s="191"/>
      <c r="S339" s="191"/>
      <c r="T339" s="191"/>
      <c r="U339" s="191"/>
      <c r="V339" s="191"/>
      <c r="W339" s="191"/>
      <c r="X339" s="191"/>
      <c r="Y339" s="191"/>
      <c r="Z339" s="191"/>
      <c r="AA339" s="191"/>
      <c r="AB339" s="191"/>
      <c r="AC339" s="191"/>
      <c r="AD339" s="191"/>
      <c r="AE339" s="191"/>
      <c r="AF339" s="191"/>
      <c r="AG339" s="316"/>
      <c r="AH339" s="315"/>
      <c r="AI339" s="120"/>
      <c r="AJ339" s="120">
        <f t="shared" si="283"/>
        <v>143817.74</v>
      </c>
      <c r="AK339" s="113">
        <f t="shared" si="284"/>
        <v>0</v>
      </c>
      <c r="AL339" s="172">
        <f t="shared" si="285"/>
        <v>0</v>
      </c>
      <c r="AM339" s="166"/>
      <c r="AN339" s="167"/>
      <c r="AO339" s="110"/>
      <c r="AP339" s="110"/>
      <c r="AQ339" s="110"/>
      <c r="AR339" s="170"/>
    </row>
    <row r="340" spans="1:45" ht="18.75" customHeight="1" thickBot="1">
      <c r="A340" s="425" t="s">
        <v>813</v>
      </c>
      <c r="B340" s="140"/>
      <c r="C340" s="140" t="s">
        <v>954</v>
      </c>
      <c r="D340" s="120">
        <v>52470</v>
      </c>
      <c r="E340" s="120">
        <v>52470</v>
      </c>
      <c r="F340" s="120">
        <v>12605</v>
      </c>
      <c r="G340" s="131">
        <f>13500+38970</f>
        <v>52470</v>
      </c>
      <c r="H340" s="120"/>
      <c r="I340" s="320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91"/>
      <c r="Z340" s="191"/>
      <c r="AA340" s="191"/>
      <c r="AB340" s="191"/>
      <c r="AC340" s="191"/>
      <c r="AD340" s="191"/>
      <c r="AE340" s="191"/>
      <c r="AF340" s="191"/>
      <c r="AG340" s="316"/>
      <c r="AH340" s="315"/>
      <c r="AI340" s="120"/>
      <c r="AJ340" s="120">
        <f t="shared" ref="AJ340" si="288">G340</f>
        <v>52470</v>
      </c>
      <c r="AK340" s="113">
        <f t="shared" ref="AK340" si="289">D340-AJ340</f>
        <v>0</v>
      </c>
      <c r="AL340" s="172">
        <f t="shared" ref="AL340" si="290">E340-AJ340</f>
        <v>0</v>
      </c>
      <c r="AM340" s="166"/>
      <c r="AN340" s="167"/>
      <c r="AO340" s="110"/>
      <c r="AP340" s="110"/>
      <c r="AQ340" s="110"/>
      <c r="AR340" s="170"/>
    </row>
    <row r="341" spans="1:45" ht="18.75" customHeight="1" thickBot="1">
      <c r="A341" s="425" t="s">
        <v>319</v>
      </c>
      <c r="B341" s="140"/>
      <c r="C341" s="140" t="s">
        <v>948</v>
      </c>
      <c r="D341" s="120">
        <v>91347.74</v>
      </c>
      <c r="E341" s="120">
        <v>91347.74</v>
      </c>
      <c r="F341" s="120">
        <v>12605</v>
      </c>
      <c r="G341" s="131">
        <f>30550+60797.74</f>
        <v>91347.739999999991</v>
      </c>
      <c r="H341" s="120"/>
      <c r="I341" s="320"/>
      <c r="J341" s="191"/>
      <c r="K341" s="191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91"/>
      <c r="Z341" s="191"/>
      <c r="AA341" s="191"/>
      <c r="AB341" s="191"/>
      <c r="AC341" s="191"/>
      <c r="AD341" s="191"/>
      <c r="AE341" s="191"/>
      <c r="AF341" s="191"/>
      <c r="AG341" s="316"/>
      <c r="AH341" s="315"/>
      <c r="AI341" s="120"/>
      <c r="AJ341" s="120">
        <f t="shared" si="283"/>
        <v>91347.739999999991</v>
      </c>
      <c r="AK341" s="113">
        <f t="shared" si="284"/>
        <v>0</v>
      </c>
      <c r="AL341" s="172">
        <f t="shared" si="285"/>
        <v>0</v>
      </c>
      <c r="AM341" s="166"/>
      <c r="AN341" s="167"/>
      <c r="AO341" s="110"/>
      <c r="AP341" s="110"/>
      <c r="AQ341" s="110"/>
      <c r="AR341" s="170"/>
    </row>
    <row r="342" spans="1:45" ht="22.5" customHeight="1" thickBot="1">
      <c r="A342" s="398" t="s">
        <v>589</v>
      </c>
      <c r="B342" s="140"/>
      <c r="C342" s="142" t="s">
        <v>496</v>
      </c>
      <c r="D342" s="121">
        <f>D344</f>
        <v>99357.440000000002</v>
      </c>
      <c r="E342" s="121">
        <f>E344</f>
        <v>99357.440000000002</v>
      </c>
      <c r="F342" s="121">
        <f>F344</f>
        <v>0</v>
      </c>
      <c r="G342" s="121">
        <f>G344</f>
        <v>99357.440000000002</v>
      </c>
      <c r="H342" s="121"/>
      <c r="I342" s="323"/>
      <c r="J342" s="191"/>
      <c r="K342" s="191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91"/>
      <c r="Z342" s="191"/>
      <c r="AA342" s="191"/>
      <c r="AB342" s="191"/>
      <c r="AC342" s="191"/>
      <c r="AD342" s="191"/>
      <c r="AE342" s="191"/>
      <c r="AF342" s="191"/>
      <c r="AG342" s="316">
        <f t="shared" si="279"/>
        <v>0</v>
      </c>
      <c r="AH342" s="315">
        <f t="shared" si="277"/>
        <v>0</v>
      </c>
      <c r="AI342" s="120"/>
      <c r="AJ342" s="121">
        <f t="shared" ref="AJ342:AJ351" si="291">G342</f>
        <v>99357.440000000002</v>
      </c>
      <c r="AK342" s="113">
        <f t="shared" si="275"/>
        <v>0</v>
      </c>
      <c r="AL342" s="172">
        <f t="shared" si="276"/>
        <v>0</v>
      </c>
      <c r="AM342" s="133"/>
      <c r="AN342" s="110"/>
      <c r="AO342" s="110"/>
      <c r="AP342" s="110"/>
      <c r="AQ342" s="110"/>
      <c r="AR342" s="170">
        <f>AM342+AN342+AO342+AP342+AQ342</f>
        <v>0</v>
      </c>
      <c r="AS342" s="417">
        <f t="shared" si="268"/>
        <v>100</v>
      </c>
    </row>
    <row r="343" spans="1:45" ht="12" customHeight="1" thickBot="1">
      <c r="A343" s="435"/>
      <c r="B343" s="140"/>
      <c r="C343" s="140" t="s">
        <v>778</v>
      </c>
      <c r="D343" s="120"/>
      <c r="E343" s="120"/>
      <c r="F343" s="120"/>
      <c r="G343" s="120"/>
      <c r="H343" s="120"/>
      <c r="I343" s="320"/>
      <c r="J343" s="191"/>
      <c r="K343" s="191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X343" s="191"/>
      <c r="Y343" s="191"/>
      <c r="Z343" s="191"/>
      <c r="AA343" s="191"/>
      <c r="AB343" s="191"/>
      <c r="AC343" s="191"/>
      <c r="AD343" s="191"/>
      <c r="AE343" s="191"/>
      <c r="AF343" s="191"/>
      <c r="AG343" s="316">
        <f t="shared" si="279"/>
        <v>0</v>
      </c>
      <c r="AH343" s="315">
        <f t="shared" ref="AH343" si="292">F343+AG343</f>
        <v>0</v>
      </c>
      <c r="AI343" s="120"/>
      <c r="AJ343" s="120"/>
      <c r="AK343" s="113"/>
      <c r="AL343" s="172"/>
      <c r="AM343" s="133"/>
      <c r="AN343" s="110"/>
      <c r="AO343" s="110"/>
      <c r="AP343" s="110"/>
      <c r="AQ343" s="110"/>
      <c r="AR343" s="170">
        <f t="shared" ref="AR343" si="293">AM343+AN343+AO343+AP343+AQ343</f>
        <v>0</v>
      </c>
      <c r="AS343" s="417" t="e">
        <f t="shared" si="268"/>
        <v>#DIV/0!</v>
      </c>
    </row>
    <row r="344" spans="1:45" ht="16.5" customHeight="1" thickBot="1">
      <c r="A344" s="425" t="s">
        <v>721</v>
      </c>
      <c r="B344" s="140"/>
      <c r="C344" s="140" t="s">
        <v>497</v>
      </c>
      <c r="D344" s="120">
        <f>D345</f>
        <v>99357.440000000002</v>
      </c>
      <c r="E344" s="120">
        <f>E345</f>
        <v>99357.440000000002</v>
      </c>
      <c r="F344" s="120">
        <f t="shared" ref="F344:G344" si="294">F345</f>
        <v>0</v>
      </c>
      <c r="G344" s="120">
        <f t="shared" si="294"/>
        <v>99357.440000000002</v>
      </c>
      <c r="H344" s="120"/>
      <c r="I344" s="320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1"/>
      <c r="Z344" s="191"/>
      <c r="AA344" s="191"/>
      <c r="AB344" s="191"/>
      <c r="AC344" s="191"/>
      <c r="AD344" s="191"/>
      <c r="AE344" s="191"/>
      <c r="AF344" s="191"/>
      <c r="AG344" s="316">
        <f t="shared" si="279"/>
        <v>0</v>
      </c>
      <c r="AH344" s="315">
        <f t="shared" si="277"/>
        <v>0</v>
      </c>
      <c r="AI344" s="120"/>
      <c r="AJ344" s="120">
        <f t="shared" si="291"/>
        <v>99357.440000000002</v>
      </c>
      <c r="AK344" s="113">
        <f t="shared" si="275"/>
        <v>0</v>
      </c>
      <c r="AL344" s="172">
        <f t="shared" si="276"/>
        <v>0</v>
      </c>
      <c r="AM344" s="133"/>
      <c r="AN344" s="110"/>
      <c r="AO344" s="110"/>
      <c r="AP344" s="110"/>
      <c r="AQ344" s="110"/>
      <c r="AR344" s="170">
        <f>AM344+AN344+AO344+AP344+AQ344</f>
        <v>0</v>
      </c>
      <c r="AS344" s="417">
        <f t="shared" si="268"/>
        <v>100</v>
      </c>
    </row>
    <row r="345" spans="1:45" ht="17.100000000000001" customHeight="1" thickBot="1">
      <c r="A345" s="425" t="s">
        <v>319</v>
      </c>
      <c r="B345" s="140"/>
      <c r="C345" s="140" t="s">
        <v>817</v>
      </c>
      <c r="D345" s="120">
        <v>99357.440000000002</v>
      </c>
      <c r="E345" s="120">
        <v>99357.440000000002</v>
      </c>
      <c r="F345" s="120"/>
      <c r="G345" s="120">
        <f>9187.53+33642.17+28477.4+28050.34</f>
        <v>99357.440000000002</v>
      </c>
      <c r="H345" s="120"/>
      <c r="I345" s="320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  <c r="AA345" s="191"/>
      <c r="AB345" s="191"/>
      <c r="AC345" s="191"/>
      <c r="AD345" s="191"/>
      <c r="AE345" s="191"/>
      <c r="AF345" s="191"/>
      <c r="AG345" s="316"/>
      <c r="AH345" s="315"/>
      <c r="AI345" s="120"/>
      <c r="AJ345" s="120">
        <f t="shared" si="291"/>
        <v>99357.440000000002</v>
      </c>
      <c r="AK345" s="113">
        <f t="shared" si="275"/>
        <v>0</v>
      </c>
      <c r="AL345" s="172">
        <f t="shared" si="276"/>
        <v>0</v>
      </c>
      <c r="AM345" s="133"/>
      <c r="AN345" s="110"/>
      <c r="AO345" s="110"/>
      <c r="AP345" s="110"/>
      <c r="AQ345" s="110"/>
      <c r="AR345" s="170"/>
      <c r="AS345" s="417">
        <f t="shared" si="268"/>
        <v>100</v>
      </c>
    </row>
    <row r="346" spans="1:45" ht="32.450000000000003" customHeight="1" thickBot="1">
      <c r="A346" s="398" t="s">
        <v>1028</v>
      </c>
      <c r="B346" s="140"/>
      <c r="C346" s="142" t="s">
        <v>1029</v>
      </c>
      <c r="D346" s="121">
        <f>D350+D348+D351</f>
        <v>457852.8</v>
      </c>
      <c r="E346" s="121">
        <f>E350+E348+E351</f>
        <v>457852.8</v>
      </c>
      <c r="F346" s="121">
        <f t="shared" ref="F346:G346" si="295">F350+F348+F351</f>
        <v>371711.21</v>
      </c>
      <c r="G346" s="121">
        <f t="shared" si="295"/>
        <v>457852.8</v>
      </c>
      <c r="H346" s="120"/>
      <c r="I346" s="320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  <c r="AC346" s="191"/>
      <c r="AD346" s="191"/>
      <c r="AE346" s="191"/>
      <c r="AF346" s="191"/>
      <c r="AG346" s="316"/>
      <c r="AH346" s="315"/>
      <c r="AI346" s="120"/>
      <c r="AJ346" s="120">
        <f t="shared" si="291"/>
        <v>457852.8</v>
      </c>
      <c r="AK346" s="113">
        <f t="shared" si="275"/>
        <v>0</v>
      </c>
      <c r="AL346" s="172">
        <f t="shared" si="276"/>
        <v>0</v>
      </c>
      <c r="AM346" s="133"/>
      <c r="AN346" s="110"/>
      <c r="AO346" s="110"/>
      <c r="AP346" s="110"/>
      <c r="AQ346" s="110"/>
      <c r="AR346" s="170"/>
      <c r="AS346" s="417">
        <f t="shared" si="268"/>
        <v>100</v>
      </c>
    </row>
    <row r="347" spans="1:45" ht="16.5" customHeight="1" thickBot="1">
      <c r="A347" s="435"/>
      <c r="B347" s="140"/>
      <c r="C347" s="140" t="s">
        <v>778</v>
      </c>
      <c r="D347" s="120"/>
      <c r="E347" s="120"/>
      <c r="F347" s="120"/>
      <c r="G347" s="120"/>
      <c r="H347" s="120"/>
      <c r="I347" s="320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  <c r="AC347" s="191"/>
      <c r="AD347" s="191"/>
      <c r="AE347" s="191"/>
      <c r="AF347" s="191"/>
      <c r="AG347" s="316">
        <f t="shared" ref="AG347" si="296">SUM(I347:AF347)</f>
        <v>0</v>
      </c>
      <c r="AH347" s="315">
        <f t="shared" ref="AH347" si="297">F347+AG347</f>
        <v>0</v>
      </c>
      <c r="AI347" s="120"/>
      <c r="AJ347" s="120"/>
      <c r="AK347" s="113"/>
      <c r="AL347" s="172"/>
      <c r="AM347" s="133"/>
      <c r="AN347" s="110"/>
      <c r="AO347" s="110"/>
      <c r="AP347" s="110"/>
      <c r="AQ347" s="110"/>
      <c r="AR347" s="170">
        <f t="shared" ref="AR347" si="298">AM347+AN347+AO347+AP347+AQ347</f>
        <v>0</v>
      </c>
      <c r="AS347" s="417" t="e">
        <f t="shared" ref="AS347" si="299">G347/E347*100</f>
        <v>#DIV/0!</v>
      </c>
    </row>
    <row r="348" spans="1:45" ht="15.6" customHeight="1" thickBot="1">
      <c r="A348" s="431" t="s">
        <v>188</v>
      </c>
      <c r="B348" s="140"/>
      <c r="C348" s="140" t="s">
        <v>1030</v>
      </c>
      <c r="D348" s="120">
        <v>457852.8</v>
      </c>
      <c r="E348" s="120">
        <v>457852.8</v>
      </c>
      <c r="F348" s="120">
        <v>330911.21000000002</v>
      </c>
      <c r="G348" s="131">
        <f>274711.68+183141.12</f>
        <v>457852.8</v>
      </c>
      <c r="H348" s="120"/>
      <c r="I348" s="320">
        <v>98000</v>
      </c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  <c r="AD348" s="191"/>
      <c r="AE348" s="191"/>
      <c r="AF348" s="191"/>
      <c r="AG348" s="316">
        <f t="shared" ref="AG348" si="300">SUM(I348:AF348)</f>
        <v>98000</v>
      </c>
      <c r="AH348" s="315">
        <f t="shared" ref="AH348" si="301">F348+AG348</f>
        <v>428911.21</v>
      </c>
      <c r="AI348" s="120"/>
      <c r="AJ348" s="120">
        <f t="shared" si="291"/>
        <v>457852.8</v>
      </c>
      <c r="AK348" s="113">
        <f t="shared" si="275"/>
        <v>0</v>
      </c>
      <c r="AL348" s="172">
        <f t="shared" si="276"/>
        <v>0</v>
      </c>
      <c r="AM348" s="166">
        <v>700</v>
      </c>
      <c r="AN348" s="167">
        <v>1740</v>
      </c>
      <c r="AO348" s="110"/>
      <c r="AP348" s="110"/>
      <c r="AQ348" s="110"/>
      <c r="AR348" s="170">
        <f t="shared" ref="AR348" si="302">AM348+AN348+AO348+AP348+AQ348</f>
        <v>2440</v>
      </c>
      <c r="AS348" s="417">
        <f t="shared" ref="AS348:AS351" si="303">G348/E348*100</f>
        <v>100</v>
      </c>
    </row>
    <row r="349" spans="1:45" ht="15.6" hidden="1" customHeight="1" thickBot="1">
      <c r="A349" s="425" t="s">
        <v>721</v>
      </c>
      <c r="B349" s="140"/>
      <c r="C349" s="140" t="s">
        <v>982</v>
      </c>
      <c r="D349" s="120">
        <f>D350+D351</f>
        <v>0</v>
      </c>
      <c r="E349" s="120">
        <f>E350+E351</f>
        <v>0</v>
      </c>
      <c r="F349" s="120">
        <f t="shared" ref="F349:G349" si="304">F350+F351</f>
        <v>40800</v>
      </c>
      <c r="G349" s="120">
        <f t="shared" si="304"/>
        <v>0</v>
      </c>
      <c r="H349" s="120"/>
      <c r="I349" s="320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  <c r="AD349" s="191"/>
      <c r="AE349" s="191"/>
      <c r="AF349" s="191"/>
      <c r="AG349" s="316"/>
      <c r="AH349" s="315"/>
      <c r="AI349" s="120"/>
      <c r="AJ349" s="120">
        <f t="shared" si="291"/>
        <v>0</v>
      </c>
      <c r="AK349" s="113">
        <f t="shared" si="275"/>
        <v>0</v>
      </c>
      <c r="AL349" s="172">
        <f t="shared" si="276"/>
        <v>0</v>
      </c>
      <c r="AM349" s="166"/>
      <c r="AN349" s="167"/>
      <c r="AO349" s="110"/>
      <c r="AP349" s="110"/>
      <c r="AQ349" s="110"/>
      <c r="AR349" s="170"/>
    </row>
    <row r="350" spans="1:45" ht="18" hidden="1" customHeight="1" thickBot="1">
      <c r="A350" s="425" t="s">
        <v>319</v>
      </c>
      <c r="B350" s="140"/>
      <c r="C350" s="140" t="s">
        <v>980</v>
      </c>
      <c r="D350" s="120">
        <v>0</v>
      </c>
      <c r="E350" s="120">
        <v>0</v>
      </c>
      <c r="F350" s="120">
        <v>28100</v>
      </c>
      <c r="G350" s="120"/>
      <c r="H350" s="120"/>
      <c r="I350" s="320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316"/>
      <c r="AH350" s="315"/>
      <c r="AI350" s="120"/>
      <c r="AJ350" s="120">
        <f t="shared" si="291"/>
        <v>0</v>
      </c>
      <c r="AK350" s="113">
        <f t="shared" si="275"/>
        <v>0</v>
      </c>
      <c r="AL350" s="172">
        <f t="shared" si="276"/>
        <v>0</v>
      </c>
      <c r="AM350" s="133"/>
      <c r="AN350" s="110"/>
      <c r="AO350" s="110"/>
      <c r="AP350" s="110"/>
      <c r="AQ350" s="110"/>
      <c r="AR350" s="170"/>
      <c r="AS350" s="417" t="e">
        <f t="shared" si="303"/>
        <v>#DIV/0!</v>
      </c>
    </row>
    <row r="351" spans="1:45" ht="20.100000000000001" hidden="1" customHeight="1" thickBot="1">
      <c r="A351" s="425" t="s">
        <v>314</v>
      </c>
      <c r="B351" s="140"/>
      <c r="C351" s="140" t="s">
        <v>981</v>
      </c>
      <c r="D351" s="120">
        <v>0</v>
      </c>
      <c r="E351" s="120">
        <v>0</v>
      </c>
      <c r="F351" s="120">
        <v>12700</v>
      </c>
      <c r="G351" s="120"/>
      <c r="H351" s="120"/>
      <c r="I351" s="320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316"/>
      <c r="AH351" s="315"/>
      <c r="AI351" s="120"/>
      <c r="AJ351" s="120">
        <f t="shared" si="291"/>
        <v>0</v>
      </c>
      <c r="AK351" s="113">
        <f t="shared" si="275"/>
        <v>0</v>
      </c>
      <c r="AL351" s="172">
        <f t="shared" si="276"/>
        <v>0</v>
      </c>
      <c r="AM351" s="133"/>
      <c r="AN351" s="110"/>
      <c r="AO351" s="110"/>
      <c r="AP351" s="110"/>
      <c r="AQ351" s="110"/>
      <c r="AR351" s="170"/>
      <c r="AS351" s="417" t="e">
        <f t="shared" si="303"/>
        <v>#DIV/0!</v>
      </c>
    </row>
    <row r="352" spans="1:45" ht="15" customHeight="1" thickBot="1">
      <c r="A352" s="432" t="s">
        <v>710</v>
      </c>
      <c r="B352" s="230"/>
      <c r="C352" s="238" t="s">
        <v>498</v>
      </c>
      <c r="D352" s="236">
        <f>D353+D355+D356</f>
        <v>88000</v>
      </c>
      <c r="E352" s="236">
        <f>E353+E355+E356</f>
        <v>88000</v>
      </c>
      <c r="F352" s="236">
        <f>F353+F355+F356</f>
        <v>25200</v>
      </c>
      <c r="G352" s="236">
        <f>G353+G355+G356</f>
        <v>87993.65</v>
      </c>
      <c r="H352" s="236"/>
      <c r="I352" s="32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  <c r="AD352" s="191"/>
      <c r="AE352" s="191"/>
      <c r="AF352" s="191"/>
      <c r="AG352" s="316">
        <f t="shared" si="279"/>
        <v>0</v>
      </c>
      <c r="AH352" s="315">
        <f t="shared" si="277"/>
        <v>25200</v>
      </c>
      <c r="AI352" s="232"/>
      <c r="AJ352" s="237">
        <f t="shared" ref="AJ352:AJ359" si="305">G352</f>
        <v>87993.65</v>
      </c>
      <c r="AK352" s="233">
        <f t="shared" si="275"/>
        <v>6.3500000000058208</v>
      </c>
      <c r="AL352" s="234">
        <f t="shared" si="276"/>
        <v>6.3500000000058208</v>
      </c>
      <c r="AM352" s="160"/>
      <c r="AN352" s="116"/>
      <c r="AO352" s="116"/>
      <c r="AP352" s="116"/>
      <c r="AQ352" s="116"/>
      <c r="AR352" s="170">
        <f t="shared" si="272"/>
        <v>0</v>
      </c>
      <c r="AS352" s="417">
        <f t="shared" si="268"/>
        <v>99.992784090909083</v>
      </c>
    </row>
    <row r="353" spans="1:45" ht="13.5" customHeight="1" thickBot="1">
      <c r="A353" s="424" t="s">
        <v>136</v>
      </c>
      <c r="B353" s="230"/>
      <c r="C353" s="231" t="s">
        <v>413</v>
      </c>
      <c r="D353" s="232">
        <f>D354</f>
        <v>46000</v>
      </c>
      <c r="E353" s="232">
        <f>E354</f>
        <v>46000</v>
      </c>
      <c r="F353" s="232">
        <f>F354</f>
        <v>23000</v>
      </c>
      <c r="G353" s="232">
        <f>G354</f>
        <v>46000</v>
      </c>
      <c r="H353" s="232"/>
      <c r="I353" s="320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  <c r="AD353" s="191"/>
      <c r="AE353" s="191"/>
      <c r="AF353" s="191"/>
      <c r="AG353" s="316">
        <f t="shared" si="279"/>
        <v>0</v>
      </c>
      <c r="AH353" s="315">
        <f t="shared" si="277"/>
        <v>23000</v>
      </c>
      <c r="AI353" s="232"/>
      <c r="AJ353" s="232">
        <f t="shared" si="305"/>
        <v>46000</v>
      </c>
      <c r="AK353" s="233">
        <f t="shared" si="275"/>
        <v>0</v>
      </c>
      <c r="AL353" s="234">
        <f t="shared" si="276"/>
        <v>0</v>
      </c>
      <c r="AM353" s="160"/>
      <c r="AN353" s="116"/>
      <c r="AO353" s="116"/>
      <c r="AP353" s="116"/>
      <c r="AQ353" s="116"/>
      <c r="AR353" s="170">
        <f t="shared" si="272"/>
        <v>0</v>
      </c>
      <c r="AS353" s="417">
        <f t="shared" si="268"/>
        <v>100</v>
      </c>
    </row>
    <row r="354" spans="1:45" ht="13.5" customHeight="1" thickBot="1">
      <c r="A354" s="424" t="s">
        <v>147</v>
      </c>
      <c r="B354" s="230"/>
      <c r="C354" s="231" t="s">
        <v>414</v>
      </c>
      <c r="D354" s="232">
        <f>D362</f>
        <v>46000</v>
      </c>
      <c r="E354" s="232">
        <f>E362</f>
        <v>46000</v>
      </c>
      <c r="F354" s="232">
        <f>F362</f>
        <v>23000</v>
      </c>
      <c r="G354" s="232">
        <f>G362</f>
        <v>46000</v>
      </c>
      <c r="H354" s="232"/>
      <c r="I354" s="320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  <c r="AA354" s="191"/>
      <c r="AB354" s="191"/>
      <c r="AC354" s="191"/>
      <c r="AD354" s="191"/>
      <c r="AE354" s="191"/>
      <c r="AF354" s="191"/>
      <c r="AG354" s="316">
        <f t="shared" si="279"/>
        <v>0</v>
      </c>
      <c r="AH354" s="315">
        <f t="shared" si="277"/>
        <v>23000</v>
      </c>
      <c r="AI354" s="232"/>
      <c r="AJ354" s="232">
        <f t="shared" si="305"/>
        <v>46000</v>
      </c>
      <c r="AK354" s="233">
        <f t="shared" si="275"/>
        <v>0</v>
      </c>
      <c r="AL354" s="234">
        <f t="shared" si="276"/>
        <v>0</v>
      </c>
      <c r="AM354" s="160"/>
      <c r="AN354" s="116"/>
      <c r="AO354" s="116"/>
      <c r="AP354" s="116"/>
      <c r="AQ354" s="116"/>
      <c r="AR354" s="170">
        <f t="shared" si="272"/>
        <v>0</v>
      </c>
      <c r="AS354" s="417">
        <f t="shared" si="268"/>
        <v>100</v>
      </c>
    </row>
    <row r="355" spans="1:45" ht="15" hidden="1" customHeight="1" thickBot="1">
      <c r="A355" s="424" t="s">
        <v>88</v>
      </c>
      <c r="B355" s="230"/>
      <c r="C355" s="231" t="s">
        <v>415</v>
      </c>
      <c r="D355" s="232">
        <f>D363+D361</f>
        <v>0</v>
      </c>
      <c r="E355" s="232">
        <f>E363+E361</f>
        <v>0</v>
      </c>
      <c r="F355" s="232">
        <f>F363+F361</f>
        <v>2200</v>
      </c>
      <c r="G355" s="232">
        <f>G363+G361</f>
        <v>0</v>
      </c>
      <c r="H355" s="232"/>
      <c r="I355" s="320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  <c r="AC355" s="191"/>
      <c r="AD355" s="191"/>
      <c r="AE355" s="191"/>
      <c r="AF355" s="191"/>
      <c r="AG355" s="316">
        <f t="shared" si="279"/>
        <v>0</v>
      </c>
      <c r="AH355" s="315">
        <f t="shared" si="277"/>
        <v>2200</v>
      </c>
      <c r="AI355" s="232"/>
      <c r="AJ355" s="232">
        <f t="shared" si="305"/>
        <v>0</v>
      </c>
      <c r="AK355" s="233">
        <f t="shared" si="275"/>
        <v>0</v>
      </c>
      <c r="AL355" s="234">
        <f t="shared" si="276"/>
        <v>0</v>
      </c>
      <c r="AM355" s="160"/>
      <c r="AN355" s="116"/>
      <c r="AO355" s="116"/>
      <c r="AP355" s="116"/>
      <c r="AQ355" s="116"/>
      <c r="AR355" s="170">
        <f t="shared" si="272"/>
        <v>0</v>
      </c>
      <c r="AS355" s="417" t="e">
        <f t="shared" si="268"/>
        <v>#DIV/0!</v>
      </c>
    </row>
    <row r="356" spans="1:45" ht="13.5" customHeight="1" thickBot="1">
      <c r="A356" s="424" t="s">
        <v>141</v>
      </c>
      <c r="B356" s="230"/>
      <c r="C356" s="231" t="s">
        <v>416</v>
      </c>
      <c r="D356" s="232">
        <f>D357+D358</f>
        <v>42000</v>
      </c>
      <c r="E356" s="232">
        <f>E357+E358</f>
        <v>42000</v>
      </c>
      <c r="F356" s="232">
        <f>F357+F358</f>
        <v>0</v>
      </c>
      <c r="G356" s="232">
        <f>G357+G358</f>
        <v>41993.65</v>
      </c>
      <c r="H356" s="232"/>
      <c r="I356" s="320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91"/>
      <c r="Z356" s="191"/>
      <c r="AA356" s="191"/>
      <c r="AB356" s="191"/>
      <c r="AC356" s="191"/>
      <c r="AD356" s="191"/>
      <c r="AE356" s="191"/>
      <c r="AF356" s="191"/>
      <c r="AG356" s="316">
        <f t="shared" si="279"/>
        <v>0</v>
      </c>
      <c r="AH356" s="315">
        <f t="shared" si="277"/>
        <v>0</v>
      </c>
      <c r="AI356" s="232"/>
      <c r="AJ356" s="232">
        <f t="shared" si="305"/>
        <v>41993.65</v>
      </c>
      <c r="AK356" s="233">
        <f t="shared" si="275"/>
        <v>6.3499999999985448</v>
      </c>
      <c r="AL356" s="234">
        <f t="shared" si="276"/>
        <v>6.3499999999985448</v>
      </c>
      <c r="AM356" s="160"/>
      <c r="AN356" s="116"/>
      <c r="AO356" s="116"/>
      <c r="AP356" s="116"/>
      <c r="AQ356" s="116"/>
      <c r="AR356" s="170">
        <f t="shared" si="272"/>
        <v>0</v>
      </c>
      <c r="AS356" s="417">
        <f t="shared" si="268"/>
        <v>99.984880952380962</v>
      </c>
    </row>
    <row r="357" spans="1:45" ht="15.6" hidden="1" customHeight="1" thickBot="1">
      <c r="A357" s="424" t="s">
        <v>143</v>
      </c>
      <c r="B357" s="230"/>
      <c r="C357" s="231" t="s">
        <v>335</v>
      </c>
      <c r="D357" s="232">
        <f t="shared" ref="D357:G358" si="306">D364</f>
        <v>0</v>
      </c>
      <c r="E357" s="232">
        <f t="shared" ref="E357" si="307">E364</f>
        <v>0</v>
      </c>
      <c r="F357" s="232">
        <f>F364</f>
        <v>0</v>
      </c>
      <c r="G357" s="232">
        <f t="shared" si="306"/>
        <v>0</v>
      </c>
      <c r="H357" s="232"/>
      <c r="I357" s="320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  <c r="AA357" s="191"/>
      <c r="AB357" s="191"/>
      <c r="AC357" s="191"/>
      <c r="AD357" s="191"/>
      <c r="AE357" s="191"/>
      <c r="AF357" s="191"/>
      <c r="AG357" s="316">
        <f t="shared" si="279"/>
        <v>0</v>
      </c>
      <c r="AH357" s="315">
        <f t="shared" si="277"/>
        <v>0</v>
      </c>
      <c r="AI357" s="232"/>
      <c r="AJ357" s="232">
        <f t="shared" si="305"/>
        <v>0</v>
      </c>
      <c r="AK357" s="233">
        <f t="shared" si="275"/>
        <v>0</v>
      </c>
      <c r="AL357" s="234">
        <f t="shared" si="276"/>
        <v>0</v>
      </c>
      <c r="AM357" s="160"/>
      <c r="AN357" s="116"/>
      <c r="AO357" s="116"/>
      <c r="AP357" s="116"/>
      <c r="AQ357" s="116"/>
      <c r="AR357" s="170">
        <f t="shared" si="272"/>
        <v>0</v>
      </c>
      <c r="AS357" s="417" t="e">
        <f t="shared" si="268"/>
        <v>#DIV/0!</v>
      </c>
    </row>
    <row r="358" spans="1:45" ht="16.5" customHeight="1" thickBot="1">
      <c r="A358" s="424" t="s">
        <v>721</v>
      </c>
      <c r="B358" s="230"/>
      <c r="C358" s="231" t="s">
        <v>417</v>
      </c>
      <c r="D358" s="232">
        <f t="shared" si="306"/>
        <v>42000</v>
      </c>
      <c r="E358" s="232">
        <f t="shared" ref="E358" si="308">E365</f>
        <v>42000</v>
      </c>
      <c r="F358" s="232">
        <f>F365</f>
        <v>0</v>
      </c>
      <c r="G358" s="232">
        <f t="shared" si="306"/>
        <v>41993.65</v>
      </c>
      <c r="H358" s="232"/>
      <c r="I358" s="320"/>
      <c r="J358" s="191"/>
      <c r="K358" s="191"/>
      <c r="L358" s="191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1"/>
      <c r="Z358" s="191"/>
      <c r="AA358" s="191"/>
      <c r="AB358" s="191"/>
      <c r="AC358" s="191"/>
      <c r="AD358" s="191"/>
      <c r="AE358" s="191"/>
      <c r="AF358" s="191"/>
      <c r="AG358" s="316">
        <f t="shared" si="279"/>
        <v>0</v>
      </c>
      <c r="AH358" s="315">
        <f t="shared" si="277"/>
        <v>0</v>
      </c>
      <c r="AI358" s="232"/>
      <c r="AJ358" s="232">
        <f t="shared" si="305"/>
        <v>41993.65</v>
      </c>
      <c r="AK358" s="233">
        <f t="shared" si="275"/>
        <v>6.3499999999985448</v>
      </c>
      <c r="AL358" s="234">
        <f t="shared" si="276"/>
        <v>6.3499999999985448</v>
      </c>
      <c r="AM358" s="160"/>
      <c r="AN358" s="116"/>
      <c r="AO358" s="116"/>
      <c r="AP358" s="116"/>
      <c r="AQ358" s="116"/>
      <c r="AR358" s="170">
        <f t="shared" si="272"/>
        <v>0</v>
      </c>
      <c r="AS358" s="417">
        <f t="shared" si="268"/>
        <v>99.984880952380962</v>
      </c>
    </row>
    <row r="359" spans="1:45" ht="15" customHeight="1" thickBot="1">
      <c r="A359" s="398" t="s">
        <v>711</v>
      </c>
      <c r="B359" s="140"/>
      <c r="C359" s="139" t="s">
        <v>499</v>
      </c>
      <c r="D359" s="110">
        <f>SUM(D361:D365)</f>
        <v>88000</v>
      </c>
      <c r="E359" s="110">
        <f>SUM(E361:E365)</f>
        <v>88000</v>
      </c>
      <c r="F359" s="110">
        <f>SUM(F361:F365)</f>
        <v>25200</v>
      </c>
      <c r="G359" s="110">
        <f>SUM(G361:G365)</f>
        <v>87993.65</v>
      </c>
      <c r="H359" s="110"/>
      <c r="I359" s="321"/>
      <c r="J359" s="191"/>
      <c r="K359" s="191"/>
      <c r="L359" s="191"/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191"/>
      <c r="Z359" s="191"/>
      <c r="AA359" s="191"/>
      <c r="AB359" s="191"/>
      <c r="AC359" s="191"/>
      <c r="AD359" s="191"/>
      <c r="AE359" s="191"/>
      <c r="AF359" s="191"/>
      <c r="AG359" s="316">
        <f t="shared" si="279"/>
        <v>0</v>
      </c>
      <c r="AH359" s="315">
        <f t="shared" si="277"/>
        <v>25200</v>
      </c>
      <c r="AI359" s="120"/>
      <c r="AJ359" s="148">
        <f t="shared" si="305"/>
        <v>87993.65</v>
      </c>
      <c r="AK359" s="113">
        <f t="shared" si="275"/>
        <v>6.3500000000058208</v>
      </c>
      <c r="AL359" s="172">
        <f t="shared" si="276"/>
        <v>6.3500000000058208</v>
      </c>
      <c r="AM359" s="133"/>
      <c r="AN359" s="110"/>
      <c r="AO359" s="110"/>
      <c r="AP359" s="110"/>
      <c r="AQ359" s="110"/>
      <c r="AR359" s="170">
        <f t="shared" si="272"/>
        <v>0</v>
      </c>
      <c r="AS359" s="417">
        <f t="shared" si="268"/>
        <v>99.992784090909083</v>
      </c>
    </row>
    <row r="360" spans="1:45" ht="12" customHeight="1" thickBot="1">
      <c r="A360" s="425"/>
      <c r="B360" s="140"/>
      <c r="C360" s="140" t="s">
        <v>778</v>
      </c>
      <c r="D360" s="120"/>
      <c r="E360" s="120"/>
      <c r="F360" s="120"/>
      <c r="G360" s="120"/>
      <c r="H360" s="120"/>
      <c r="I360" s="320"/>
      <c r="J360" s="191"/>
      <c r="K360" s="191"/>
      <c r="L360" s="191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1"/>
      <c r="Z360" s="191"/>
      <c r="AA360" s="191"/>
      <c r="AB360" s="191"/>
      <c r="AC360" s="191"/>
      <c r="AD360" s="191"/>
      <c r="AE360" s="191"/>
      <c r="AF360" s="191"/>
      <c r="AG360" s="316">
        <f t="shared" si="279"/>
        <v>0</v>
      </c>
      <c r="AH360" s="315">
        <f t="shared" si="277"/>
        <v>0</v>
      </c>
      <c r="AI360" s="120"/>
      <c r="AJ360" s="120"/>
      <c r="AK360" s="113"/>
      <c r="AL360" s="172"/>
      <c r="AM360" s="133"/>
      <c r="AN360" s="110"/>
      <c r="AO360" s="110"/>
      <c r="AP360" s="110"/>
      <c r="AQ360" s="110"/>
      <c r="AR360" s="170">
        <f t="shared" si="272"/>
        <v>0</v>
      </c>
      <c r="AS360" s="417" t="e">
        <f t="shared" si="268"/>
        <v>#DIV/0!</v>
      </c>
    </row>
    <row r="361" spans="1:45" ht="17.25" hidden="1" customHeight="1" thickBot="1">
      <c r="A361" s="425" t="s">
        <v>88</v>
      </c>
      <c r="B361" s="140"/>
      <c r="C361" s="140" t="s">
        <v>283</v>
      </c>
      <c r="D361" s="120"/>
      <c r="E361" s="120"/>
      <c r="F361" s="120"/>
      <c r="G361" s="120"/>
      <c r="H361" s="120"/>
      <c r="I361" s="320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1"/>
      <c r="Z361" s="191"/>
      <c r="AA361" s="191"/>
      <c r="AB361" s="191"/>
      <c r="AC361" s="191"/>
      <c r="AD361" s="191"/>
      <c r="AE361" s="191"/>
      <c r="AF361" s="191"/>
      <c r="AG361" s="316">
        <f t="shared" si="279"/>
        <v>0</v>
      </c>
      <c r="AH361" s="315">
        <f t="shared" si="277"/>
        <v>0</v>
      </c>
      <c r="AI361" s="120"/>
      <c r="AJ361" s="120">
        <f t="shared" ref="AJ361:AJ381" si="309">G361</f>
        <v>0</v>
      </c>
      <c r="AK361" s="113">
        <f t="shared" ref="AK361:AK386" si="310">D361-AJ361</f>
        <v>0</v>
      </c>
      <c r="AL361" s="172">
        <f t="shared" ref="AL361:AL386" si="311">E361-AJ361</f>
        <v>0</v>
      </c>
      <c r="AM361" s="133"/>
      <c r="AN361" s="110"/>
      <c r="AO361" s="110"/>
      <c r="AP361" s="110"/>
      <c r="AQ361" s="110"/>
      <c r="AR361" s="170"/>
      <c r="AS361" s="417" t="e">
        <f t="shared" si="268"/>
        <v>#DIV/0!</v>
      </c>
    </row>
    <row r="362" spans="1:45" ht="15" customHeight="1" thickBot="1">
      <c r="A362" s="425" t="s">
        <v>147</v>
      </c>
      <c r="B362" s="140"/>
      <c r="C362" s="140" t="s">
        <v>500</v>
      </c>
      <c r="D362" s="120">
        <v>46000</v>
      </c>
      <c r="E362" s="120">
        <v>46000</v>
      </c>
      <c r="F362" s="120">
        <v>23000</v>
      </c>
      <c r="G362" s="120">
        <v>46000</v>
      </c>
      <c r="H362" s="120"/>
      <c r="I362" s="320"/>
      <c r="J362" s="191"/>
      <c r="K362" s="191"/>
      <c r="L362" s="191"/>
      <c r="M362" s="191"/>
      <c r="N362" s="191"/>
      <c r="O362" s="191"/>
      <c r="P362" s="191"/>
      <c r="Q362" s="191"/>
      <c r="R362" s="191"/>
      <c r="S362" s="191"/>
      <c r="T362" s="191"/>
      <c r="U362" s="191"/>
      <c r="V362" s="191"/>
      <c r="W362" s="191"/>
      <c r="X362" s="191"/>
      <c r="Y362" s="191"/>
      <c r="Z362" s="191"/>
      <c r="AA362" s="191"/>
      <c r="AB362" s="191"/>
      <c r="AC362" s="191"/>
      <c r="AD362" s="191"/>
      <c r="AE362" s="191"/>
      <c r="AF362" s="191"/>
      <c r="AG362" s="316">
        <f t="shared" si="279"/>
        <v>0</v>
      </c>
      <c r="AH362" s="315">
        <f t="shared" si="277"/>
        <v>23000</v>
      </c>
      <c r="AI362" s="120"/>
      <c r="AJ362" s="120">
        <f t="shared" si="309"/>
        <v>46000</v>
      </c>
      <c r="AK362" s="113">
        <f t="shared" si="310"/>
        <v>0</v>
      </c>
      <c r="AL362" s="172">
        <f t="shared" si="311"/>
        <v>0</v>
      </c>
      <c r="AM362" s="133"/>
      <c r="AN362" s="110"/>
      <c r="AO362" s="110"/>
      <c r="AP362" s="110"/>
      <c r="AQ362" s="110"/>
      <c r="AR362" s="170">
        <f t="shared" si="272"/>
        <v>0</v>
      </c>
      <c r="AS362" s="417">
        <f t="shared" si="268"/>
        <v>100</v>
      </c>
    </row>
    <row r="363" spans="1:45" ht="14.25" hidden="1" customHeight="1" thickBot="1">
      <c r="A363" s="425" t="s">
        <v>88</v>
      </c>
      <c r="B363" s="140"/>
      <c r="C363" s="140" t="s">
        <v>501</v>
      </c>
      <c r="D363" s="120">
        <v>0</v>
      </c>
      <c r="E363" s="120">
        <v>0</v>
      </c>
      <c r="F363" s="120">
        <v>2200</v>
      </c>
      <c r="G363" s="120"/>
      <c r="H363" s="120"/>
      <c r="I363" s="320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/>
      <c r="AE363" s="191"/>
      <c r="AF363" s="191"/>
      <c r="AG363" s="316">
        <f t="shared" si="279"/>
        <v>0</v>
      </c>
      <c r="AH363" s="315">
        <f t="shared" si="277"/>
        <v>2200</v>
      </c>
      <c r="AI363" s="120"/>
      <c r="AJ363" s="120">
        <f t="shared" si="309"/>
        <v>0</v>
      </c>
      <c r="AK363" s="113">
        <f t="shared" si="310"/>
        <v>0</v>
      </c>
      <c r="AL363" s="172">
        <f t="shared" si="311"/>
        <v>0</v>
      </c>
      <c r="AM363" s="166">
        <v>4000</v>
      </c>
      <c r="AN363" s="167">
        <v>3000</v>
      </c>
      <c r="AO363" s="110"/>
      <c r="AP363" s="110"/>
      <c r="AQ363" s="110"/>
      <c r="AR363" s="170">
        <f t="shared" si="272"/>
        <v>7000</v>
      </c>
      <c r="AS363" s="417" t="e">
        <f t="shared" si="268"/>
        <v>#DIV/0!</v>
      </c>
    </row>
    <row r="364" spans="1:45" ht="0.6" hidden="1" customHeight="1" thickBot="1">
      <c r="A364" s="431" t="s">
        <v>143</v>
      </c>
      <c r="B364" s="140"/>
      <c r="C364" s="140" t="s">
        <v>916</v>
      </c>
      <c r="D364" s="120"/>
      <c r="E364" s="120"/>
      <c r="F364" s="120"/>
      <c r="G364" s="120"/>
      <c r="H364" s="120"/>
      <c r="I364" s="320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  <c r="AC364" s="191"/>
      <c r="AD364" s="191"/>
      <c r="AE364" s="191"/>
      <c r="AF364" s="191"/>
      <c r="AG364" s="316">
        <f t="shared" si="279"/>
        <v>0</v>
      </c>
      <c r="AH364" s="315">
        <f t="shared" si="277"/>
        <v>0</v>
      </c>
      <c r="AI364" s="120"/>
      <c r="AJ364" s="120">
        <f t="shared" si="309"/>
        <v>0</v>
      </c>
      <c r="AK364" s="113">
        <f t="shared" si="310"/>
        <v>0</v>
      </c>
      <c r="AL364" s="172">
        <f t="shared" si="311"/>
        <v>0</v>
      </c>
      <c r="AM364" s="133"/>
      <c r="AN364" s="110"/>
      <c r="AO364" s="110"/>
      <c r="AP364" s="110"/>
      <c r="AQ364" s="110"/>
      <c r="AR364" s="170">
        <f t="shared" si="272"/>
        <v>0</v>
      </c>
      <c r="AS364" s="417" t="e">
        <f t="shared" si="268"/>
        <v>#DIV/0!</v>
      </c>
    </row>
    <row r="365" spans="1:45" ht="16.5" customHeight="1" thickBot="1">
      <c r="A365" s="431" t="s">
        <v>721</v>
      </c>
      <c r="B365" s="140"/>
      <c r="C365" s="140" t="s">
        <v>502</v>
      </c>
      <c r="D365" s="120">
        <f>D366+D368+D367</f>
        <v>42000</v>
      </c>
      <c r="E365" s="120">
        <f>E366+E368+E367</f>
        <v>42000</v>
      </c>
      <c r="F365" s="120">
        <f t="shared" ref="F365" si="312">F366+F368</f>
        <v>0</v>
      </c>
      <c r="G365" s="120">
        <f>G366+G367+G368</f>
        <v>41993.65</v>
      </c>
      <c r="H365" s="120"/>
      <c r="I365" s="320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  <c r="AC365" s="191"/>
      <c r="AD365" s="191"/>
      <c r="AE365" s="191"/>
      <c r="AF365" s="191"/>
      <c r="AG365" s="316">
        <f t="shared" si="279"/>
        <v>0</v>
      </c>
      <c r="AH365" s="315">
        <f t="shared" si="277"/>
        <v>0</v>
      </c>
      <c r="AI365" s="120"/>
      <c r="AJ365" s="120">
        <f t="shared" si="309"/>
        <v>41993.65</v>
      </c>
      <c r="AK365" s="113">
        <f t="shared" si="310"/>
        <v>6.3499999999985448</v>
      </c>
      <c r="AL365" s="172">
        <f t="shared" si="311"/>
        <v>6.3499999999985448</v>
      </c>
      <c r="AM365" s="133"/>
      <c r="AN365" s="110"/>
      <c r="AO365" s="110"/>
      <c r="AP365" s="110"/>
      <c r="AQ365" s="110"/>
      <c r="AR365" s="170">
        <f t="shared" si="272"/>
        <v>0</v>
      </c>
      <c r="AS365" s="417">
        <f t="shared" si="268"/>
        <v>99.984880952380962</v>
      </c>
    </row>
    <row r="366" spans="1:45" ht="16.5" customHeight="1" thickBot="1">
      <c r="A366" s="431" t="s">
        <v>801</v>
      </c>
      <c r="B366" s="140"/>
      <c r="C366" s="140" t="s">
        <v>816</v>
      </c>
      <c r="D366" s="120">
        <v>14000</v>
      </c>
      <c r="E366" s="120">
        <v>14000</v>
      </c>
      <c r="F366" s="120"/>
      <c r="G366" s="120">
        <v>14000</v>
      </c>
      <c r="H366" s="120"/>
      <c r="I366" s="320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  <c r="AD366" s="191"/>
      <c r="AE366" s="191"/>
      <c r="AF366" s="191"/>
      <c r="AG366" s="316"/>
      <c r="AH366" s="315"/>
      <c r="AI366" s="120"/>
      <c r="AJ366" s="120">
        <f t="shared" si="309"/>
        <v>14000</v>
      </c>
      <c r="AK366" s="113">
        <f t="shared" si="310"/>
        <v>0</v>
      </c>
      <c r="AL366" s="172">
        <f t="shared" si="311"/>
        <v>0</v>
      </c>
      <c r="AM366" s="133"/>
      <c r="AN366" s="110"/>
      <c r="AO366" s="110"/>
      <c r="AP366" s="110"/>
      <c r="AQ366" s="110"/>
      <c r="AR366" s="170"/>
      <c r="AS366" s="417">
        <f t="shared" si="268"/>
        <v>100</v>
      </c>
    </row>
    <row r="367" spans="1:45" ht="16.5" customHeight="1" thickBot="1">
      <c r="A367" s="425" t="s">
        <v>319</v>
      </c>
      <c r="B367" s="140"/>
      <c r="C367" s="140" t="s">
        <v>915</v>
      </c>
      <c r="D367" s="120">
        <v>6050</v>
      </c>
      <c r="E367" s="120">
        <v>6050</v>
      </c>
      <c r="F367" s="120"/>
      <c r="G367" s="120">
        <v>6050</v>
      </c>
      <c r="H367" s="120"/>
      <c r="I367" s="320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  <c r="AD367" s="191"/>
      <c r="AE367" s="191"/>
      <c r="AF367" s="191"/>
      <c r="AG367" s="316"/>
      <c r="AH367" s="315"/>
      <c r="AI367" s="120"/>
      <c r="AJ367" s="120">
        <f t="shared" si="309"/>
        <v>6050</v>
      </c>
      <c r="AK367" s="113">
        <f t="shared" si="310"/>
        <v>0</v>
      </c>
      <c r="AL367" s="172">
        <f t="shared" si="311"/>
        <v>0</v>
      </c>
      <c r="AM367" s="133"/>
      <c r="AN367" s="110"/>
      <c r="AO367" s="110"/>
      <c r="AP367" s="110"/>
      <c r="AQ367" s="110"/>
      <c r="AR367" s="170"/>
    </row>
    <row r="368" spans="1:45" ht="20.100000000000001" customHeight="1" thickBot="1">
      <c r="A368" s="425" t="s">
        <v>314</v>
      </c>
      <c r="B368" s="140"/>
      <c r="C368" s="140" t="s">
        <v>815</v>
      </c>
      <c r="D368" s="120">
        <v>21950</v>
      </c>
      <c r="E368" s="120">
        <v>21950</v>
      </c>
      <c r="F368" s="120"/>
      <c r="G368" s="120">
        <f>12818+9125.65</f>
        <v>21943.65</v>
      </c>
      <c r="H368" s="120"/>
      <c r="I368" s="320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  <c r="AD368" s="191"/>
      <c r="AE368" s="191"/>
      <c r="AF368" s="191"/>
      <c r="AG368" s="316"/>
      <c r="AH368" s="315"/>
      <c r="AI368" s="120"/>
      <c r="AJ368" s="120">
        <f t="shared" si="309"/>
        <v>21943.65</v>
      </c>
      <c r="AK368" s="113">
        <f t="shared" si="310"/>
        <v>6.3499999999985448</v>
      </c>
      <c r="AL368" s="172">
        <f t="shared" si="311"/>
        <v>6.3499999999985448</v>
      </c>
      <c r="AM368" s="133"/>
      <c r="AN368" s="110"/>
      <c r="AO368" s="110"/>
      <c r="AP368" s="110"/>
      <c r="AQ368" s="110"/>
      <c r="AR368" s="170"/>
      <c r="AS368" s="417">
        <f t="shared" si="268"/>
        <v>99.971070615034179</v>
      </c>
    </row>
    <row r="369" spans="1:45" ht="17.100000000000001" customHeight="1" thickBot="1">
      <c r="A369" s="432" t="s">
        <v>590</v>
      </c>
      <c r="B369" s="230"/>
      <c r="C369" s="238" t="s">
        <v>503</v>
      </c>
      <c r="D369" s="236">
        <f>D370+D383</f>
        <v>13080320.48</v>
      </c>
      <c r="E369" s="236">
        <f>E370+E383</f>
        <v>13080320.48</v>
      </c>
      <c r="F369" s="236">
        <f>F370+F383</f>
        <v>3972512.19</v>
      </c>
      <c r="G369" s="236">
        <f>G370+G383</f>
        <v>12635283.209999999</v>
      </c>
      <c r="H369" s="236"/>
      <c r="I369" s="32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  <c r="AC369" s="191"/>
      <c r="AD369" s="191"/>
      <c r="AE369" s="191"/>
      <c r="AF369" s="191"/>
      <c r="AG369" s="316">
        <f t="shared" si="279"/>
        <v>0</v>
      </c>
      <c r="AH369" s="315">
        <f t="shared" si="277"/>
        <v>3972512.19</v>
      </c>
      <c r="AI369" s="232"/>
      <c r="AJ369" s="236">
        <f t="shared" si="309"/>
        <v>12635283.209999999</v>
      </c>
      <c r="AK369" s="233">
        <f t="shared" si="310"/>
        <v>445037.27000000142</v>
      </c>
      <c r="AL369" s="234">
        <f t="shared" si="311"/>
        <v>445037.27000000142</v>
      </c>
      <c r="AM369" s="160"/>
      <c r="AN369" s="116"/>
      <c r="AO369" s="116"/>
      <c r="AP369" s="116"/>
      <c r="AQ369" s="116"/>
      <c r="AR369" s="170">
        <f t="shared" ref="AR369:AR425" si="313">AM369+AN369+AO369+AP369+AQ369</f>
        <v>0</v>
      </c>
      <c r="AS369" s="417">
        <f t="shared" si="268"/>
        <v>96.597657750966661</v>
      </c>
    </row>
    <row r="370" spans="1:45" ht="15.6" customHeight="1" thickBot="1">
      <c r="A370" s="424" t="s">
        <v>133</v>
      </c>
      <c r="B370" s="230"/>
      <c r="C370" s="230" t="s">
        <v>418</v>
      </c>
      <c r="D370" s="232">
        <f>D372+D375+D382+D371</f>
        <v>11887731.48</v>
      </c>
      <c r="E370" s="232">
        <f>E372+E375+E382+E371</f>
        <v>11887731.48</v>
      </c>
      <c r="F370" s="232">
        <f>F372+F375+F382</f>
        <v>3877961.85</v>
      </c>
      <c r="G370" s="232">
        <f>G372+G375+G382+G371</f>
        <v>11442695.449999999</v>
      </c>
      <c r="H370" s="232"/>
      <c r="I370" s="320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  <c r="AC370" s="191"/>
      <c r="AD370" s="191"/>
      <c r="AE370" s="191"/>
      <c r="AF370" s="191"/>
      <c r="AG370" s="316">
        <f t="shared" si="279"/>
        <v>0</v>
      </c>
      <c r="AH370" s="315">
        <f t="shared" si="277"/>
        <v>3877961.85</v>
      </c>
      <c r="AI370" s="232"/>
      <c r="AJ370" s="232">
        <f t="shared" si="309"/>
        <v>11442695.449999999</v>
      </c>
      <c r="AK370" s="233">
        <f t="shared" si="310"/>
        <v>445036.03000000119</v>
      </c>
      <c r="AL370" s="234">
        <f t="shared" si="311"/>
        <v>445036.03000000119</v>
      </c>
      <c r="AM370" s="160"/>
      <c r="AN370" s="116"/>
      <c r="AO370" s="116"/>
      <c r="AP370" s="116"/>
      <c r="AQ370" s="116"/>
      <c r="AR370" s="170">
        <f t="shared" si="313"/>
        <v>0</v>
      </c>
      <c r="AS370" s="417">
        <f t="shared" si="268"/>
        <v>96.256341836550291</v>
      </c>
    </row>
    <row r="371" spans="1:45" ht="20.45" customHeight="1" thickBot="1">
      <c r="A371" s="424" t="s">
        <v>740</v>
      </c>
      <c r="B371" s="230"/>
      <c r="C371" s="230" t="s">
        <v>573</v>
      </c>
      <c r="D371" s="232">
        <f>D389</f>
        <v>29100</v>
      </c>
      <c r="E371" s="232">
        <f>E389</f>
        <v>29100</v>
      </c>
      <c r="F371" s="232">
        <f>F389</f>
        <v>0</v>
      </c>
      <c r="G371" s="232">
        <f>G389</f>
        <v>24032.43</v>
      </c>
      <c r="H371" s="232"/>
      <c r="I371" s="320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1"/>
      <c r="Z371" s="191"/>
      <c r="AA371" s="191"/>
      <c r="AB371" s="191"/>
      <c r="AC371" s="191"/>
      <c r="AD371" s="191"/>
      <c r="AE371" s="191"/>
      <c r="AF371" s="191"/>
      <c r="AG371" s="316"/>
      <c r="AH371" s="315"/>
      <c r="AI371" s="232"/>
      <c r="AJ371" s="232">
        <f t="shared" si="309"/>
        <v>24032.43</v>
      </c>
      <c r="AK371" s="233">
        <f t="shared" si="310"/>
        <v>5067.57</v>
      </c>
      <c r="AL371" s="234">
        <f t="shared" si="311"/>
        <v>5067.57</v>
      </c>
      <c r="AM371" s="160"/>
      <c r="AN371" s="116"/>
      <c r="AO371" s="116"/>
      <c r="AP371" s="116"/>
      <c r="AQ371" s="116"/>
      <c r="AR371" s="170"/>
      <c r="AS371" s="417">
        <f t="shared" si="268"/>
        <v>82.585670103092795</v>
      </c>
    </row>
    <row r="372" spans="1:45" ht="15" customHeight="1" thickBot="1">
      <c r="A372" s="424" t="s">
        <v>134</v>
      </c>
      <c r="B372" s="230"/>
      <c r="C372" s="230" t="s">
        <v>419</v>
      </c>
      <c r="D372" s="232">
        <f>D373+D374</f>
        <v>7337697</v>
      </c>
      <c r="E372" s="232">
        <f>E373+E374</f>
        <v>7337697</v>
      </c>
      <c r="F372" s="232">
        <f t="shared" ref="F372:G372" si="314">F373+F374</f>
        <v>2443401.17</v>
      </c>
      <c r="G372" s="232">
        <f t="shared" si="314"/>
        <v>7191191.5299999993</v>
      </c>
      <c r="H372" s="232"/>
      <c r="I372" s="320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91"/>
      <c r="Z372" s="191"/>
      <c r="AA372" s="191"/>
      <c r="AB372" s="191"/>
      <c r="AC372" s="191"/>
      <c r="AD372" s="191"/>
      <c r="AE372" s="191"/>
      <c r="AF372" s="191"/>
      <c r="AG372" s="316">
        <f t="shared" si="279"/>
        <v>0</v>
      </c>
      <c r="AH372" s="315">
        <f t="shared" si="277"/>
        <v>2443401.17</v>
      </c>
      <c r="AI372" s="232"/>
      <c r="AJ372" s="232">
        <f t="shared" si="309"/>
        <v>7191191.5299999993</v>
      </c>
      <c r="AK372" s="233">
        <f t="shared" si="310"/>
        <v>146505.47000000067</v>
      </c>
      <c r="AL372" s="234">
        <f t="shared" si="311"/>
        <v>146505.47000000067</v>
      </c>
      <c r="AM372" s="160"/>
      <c r="AN372" s="116"/>
      <c r="AO372" s="116"/>
      <c r="AP372" s="116"/>
      <c r="AQ372" s="116"/>
      <c r="AR372" s="170">
        <f t="shared" si="313"/>
        <v>0</v>
      </c>
      <c r="AS372" s="417">
        <f t="shared" si="268"/>
        <v>98.003386212322468</v>
      </c>
    </row>
    <row r="373" spans="1:45" ht="16.5" customHeight="1" thickBot="1">
      <c r="A373" s="424" t="s">
        <v>85</v>
      </c>
      <c r="B373" s="230"/>
      <c r="C373" s="230" t="s">
        <v>420</v>
      </c>
      <c r="D373" s="232">
        <f t="shared" ref="D373:G373" si="315">D391</f>
        <v>5631128</v>
      </c>
      <c r="E373" s="232">
        <f t="shared" ref="E373" si="316">E391</f>
        <v>5631128</v>
      </c>
      <c r="F373" s="232">
        <f t="shared" ref="F373" si="317">F391</f>
        <v>1881200.88</v>
      </c>
      <c r="G373" s="232">
        <f t="shared" si="315"/>
        <v>5524116.3599999994</v>
      </c>
      <c r="H373" s="232"/>
      <c r="I373" s="320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91"/>
      <c r="Z373" s="191"/>
      <c r="AA373" s="191"/>
      <c r="AB373" s="191"/>
      <c r="AC373" s="191"/>
      <c r="AD373" s="191"/>
      <c r="AE373" s="191"/>
      <c r="AF373" s="191"/>
      <c r="AG373" s="316">
        <f t="shared" si="279"/>
        <v>0</v>
      </c>
      <c r="AH373" s="315">
        <f t="shared" si="277"/>
        <v>1881200.88</v>
      </c>
      <c r="AI373" s="232"/>
      <c r="AJ373" s="232">
        <f t="shared" si="309"/>
        <v>5524116.3599999994</v>
      </c>
      <c r="AK373" s="233">
        <f t="shared" si="310"/>
        <v>107011.6400000006</v>
      </c>
      <c r="AL373" s="234">
        <f t="shared" si="311"/>
        <v>107011.6400000006</v>
      </c>
      <c r="AM373" s="160"/>
      <c r="AN373" s="116"/>
      <c r="AO373" s="116"/>
      <c r="AP373" s="116"/>
      <c r="AQ373" s="116"/>
      <c r="AR373" s="170">
        <f t="shared" si="313"/>
        <v>0</v>
      </c>
      <c r="AS373" s="417">
        <f t="shared" si="268"/>
        <v>98.099641137619315</v>
      </c>
    </row>
    <row r="374" spans="1:45" ht="14.25" customHeight="1" thickBot="1">
      <c r="A374" s="424" t="s">
        <v>135</v>
      </c>
      <c r="B374" s="230"/>
      <c r="C374" s="230" t="s">
        <v>421</v>
      </c>
      <c r="D374" s="232">
        <f>D392</f>
        <v>1706569</v>
      </c>
      <c r="E374" s="232">
        <f>E392</f>
        <v>1706569</v>
      </c>
      <c r="F374" s="232">
        <f>F392</f>
        <v>562200.29</v>
      </c>
      <c r="G374" s="232">
        <f>G392</f>
        <v>1667075.17</v>
      </c>
      <c r="H374" s="232"/>
      <c r="I374" s="320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  <c r="AA374" s="191"/>
      <c r="AB374" s="191"/>
      <c r="AC374" s="191"/>
      <c r="AD374" s="191"/>
      <c r="AE374" s="191"/>
      <c r="AF374" s="191"/>
      <c r="AG374" s="316">
        <f t="shared" si="279"/>
        <v>0</v>
      </c>
      <c r="AH374" s="315">
        <f t="shared" si="277"/>
        <v>562200.29</v>
      </c>
      <c r="AI374" s="232"/>
      <c r="AJ374" s="232">
        <f t="shared" si="309"/>
        <v>1667075.17</v>
      </c>
      <c r="AK374" s="233">
        <f t="shared" si="310"/>
        <v>39493.830000000075</v>
      </c>
      <c r="AL374" s="234">
        <f t="shared" si="311"/>
        <v>39493.830000000075</v>
      </c>
      <c r="AM374" s="160"/>
      <c r="AN374" s="116"/>
      <c r="AO374" s="116"/>
      <c r="AP374" s="116"/>
      <c r="AQ374" s="116"/>
      <c r="AR374" s="170">
        <f t="shared" si="313"/>
        <v>0</v>
      </c>
      <c r="AS374" s="417">
        <f t="shared" si="268"/>
        <v>97.68577596335102</v>
      </c>
    </row>
    <row r="375" spans="1:45" ht="16.5" customHeight="1" thickBot="1">
      <c r="A375" s="424" t="s">
        <v>136</v>
      </c>
      <c r="B375" s="230"/>
      <c r="C375" s="230" t="s">
        <v>422</v>
      </c>
      <c r="D375" s="232">
        <f>D378+D379+D380+D381+D377+D376</f>
        <v>4518052.4800000004</v>
      </c>
      <c r="E375" s="232">
        <f>E378+E379+E380+E381+E377+E376</f>
        <v>4518052.4800000004</v>
      </c>
      <c r="F375" s="232">
        <f t="shared" ref="F375:G375" si="318">F378+F379+F380+F381+F377+F376</f>
        <v>1434560.6800000002</v>
      </c>
      <c r="G375" s="232">
        <f t="shared" si="318"/>
        <v>4225254.57</v>
      </c>
      <c r="H375" s="232"/>
      <c r="I375" s="320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  <c r="AA375" s="191"/>
      <c r="AB375" s="191"/>
      <c r="AC375" s="191"/>
      <c r="AD375" s="191"/>
      <c r="AE375" s="191"/>
      <c r="AF375" s="191"/>
      <c r="AG375" s="316">
        <f t="shared" si="279"/>
        <v>0</v>
      </c>
      <c r="AH375" s="315">
        <f t="shared" si="277"/>
        <v>1434560.6800000002</v>
      </c>
      <c r="AI375" s="232"/>
      <c r="AJ375" s="232">
        <f t="shared" si="309"/>
        <v>4225254.57</v>
      </c>
      <c r="AK375" s="233">
        <f t="shared" si="310"/>
        <v>292797.91000000015</v>
      </c>
      <c r="AL375" s="234">
        <f t="shared" si="311"/>
        <v>292797.91000000015</v>
      </c>
      <c r="AM375" s="160"/>
      <c r="AN375" s="116"/>
      <c r="AO375" s="116"/>
      <c r="AP375" s="116"/>
      <c r="AQ375" s="116"/>
      <c r="AR375" s="170">
        <f t="shared" si="313"/>
        <v>0</v>
      </c>
      <c r="AS375" s="417">
        <f t="shared" si="268"/>
        <v>93.519377844854063</v>
      </c>
    </row>
    <row r="376" spans="1:45" ht="16.5" customHeight="1" thickBot="1">
      <c r="A376" s="424" t="s">
        <v>87</v>
      </c>
      <c r="B376" s="230"/>
      <c r="C376" s="230" t="s">
        <v>1010</v>
      </c>
      <c r="D376" s="232">
        <f>D394</f>
        <v>13902</v>
      </c>
      <c r="E376" s="232">
        <f>E394</f>
        <v>13902</v>
      </c>
      <c r="F376" s="232"/>
      <c r="G376" s="232">
        <f>G394</f>
        <v>13901.769999999999</v>
      </c>
      <c r="H376" s="232"/>
      <c r="I376" s="320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  <c r="AA376" s="191"/>
      <c r="AB376" s="191"/>
      <c r="AC376" s="191"/>
      <c r="AD376" s="191"/>
      <c r="AE376" s="191"/>
      <c r="AF376" s="191"/>
      <c r="AG376" s="316"/>
      <c r="AH376" s="315"/>
      <c r="AI376" s="232"/>
      <c r="AJ376" s="232">
        <f t="shared" si="309"/>
        <v>13901.769999999999</v>
      </c>
      <c r="AK376" s="233">
        <f t="shared" si="310"/>
        <v>0.23000000000138243</v>
      </c>
      <c r="AL376" s="234">
        <f t="shared" si="311"/>
        <v>0.23000000000138243</v>
      </c>
      <c r="AM376" s="160"/>
      <c r="AN376" s="116"/>
      <c r="AO376" s="116"/>
      <c r="AP376" s="116"/>
      <c r="AQ376" s="116"/>
      <c r="AR376" s="170"/>
    </row>
    <row r="377" spans="1:45" ht="16.5" customHeight="1" thickBot="1">
      <c r="A377" s="424" t="s">
        <v>137</v>
      </c>
      <c r="B377" s="230"/>
      <c r="C377" s="230" t="s">
        <v>959</v>
      </c>
      <c r="D377" s="232">
        <f>D395</f>
        <v>1334</v>
      </c>
      <c r="E377" s="232">
        <f>E395</f>
        <v>1334</v>
      </c>
      <c r="F377" s="232">
        <f t="shared" ref="F377:G377" si="319">F395</f>
        <v>0</v>
      </c>
      <c r="G377" s="232">
        <f t="shared" si="319"/>
        <v>1334</v>
      </c>
      <c r="H377" s="232"/>
      <c r="I377" s="320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  <c r="AA377" s="191"/>
      <c r="AB377" s="191"/>
      <c r="AC377" s="191"/>
      <c r="AD377" s="191"/>
      <c r="AE377" s="191"/>
      <c r="AF377" s="191"/>
      <c r="AG377" s="316"/>
      <c r="AH377" s="315"/>
      <c r="AI377" s="232"/>
      <c r="AJ377" s="232">
        <f t="shared" si="309"/>
        <v>1334</v>
      </c>
      <c r="AK377" s="233">
        <f t="shared" si="310"/>
        <v>0</v>
      </c>
      <c r="AL377" s="234">
        <f t="shared" si="311"/>
        <v>0</v>
      </c>
      <c r="AM377" s="160"/>
      <c r="AN377" s="116"/>
      <c r="AO377" s="116"/>
      <c r="AP377" s="116"/>
      <c r="AQ377" s="116"/>
      <c r="AR377" s="170"/>
    </row>
    <row r="378" spans="1:45" ht="13.5" customHeight="1" thickBot="1">
      <c r="A378" s="424" t="s">
        <v>138</v>
      </c>
      <c r="B378" s="230"/>
      <c r="C378" s="230" t="s">
        <v>426</v>
      </c>
      <c r="D378" s="232">
        <f t="shared" ref="D378:G380" si="320">D396</f>
        <v>2432760.5</v>
      </c>
      <c r="E378" s="232">
        <f t="shared" ref="E378" si="321">E396</f>
        <v>2432760.5</v>
      </c>
      <c r="F378" s="232">
        <f t="shared" si="320"/>
        <v>978876.56</v>
      </c>
      <c r="G378" s="232">
        <f t="shared" si="320"/>
        <v>2140039.9300000002</v>
      </c>
      <c r="H378" s="232"/>
      <c r="I378" s="320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  <c r="AA378" s="191"/>
      <c r="AB378" s="191"/>
      <c r="AC378" s="191"/>
      <c r="AD378" s="191"/>
      <c r="AE378" s="191"/>
      <c r="AF378" s="191"/>
      <c r="AG378" s="316">
        <f t="shared" si="279"/>
        <v>0</v>
      </c>
      <c r="AH378" s="315">
        <f t="shared" si="277"/>
        <v>978876.56</v>
      </c>
      <c r="AI378" s="232"/>
      <c r="AJ378" s="232">
        <f t="shared" si="309"/>
        <v>2140039.9300000002</v>
      </c>
      <c r="AK378" s="233">
        <f t="shared" si="310"/>
        <v>292720.56999999983</v>
      </c>
      <c r="AL378" s="234">
        <f t="shared" si="311"/>
        <v>292720.56999999983</v>
      </c>
      <c r="AM378" s="160"/>
      <c r="AN378" s="116"/>
      <c r="AO378" s="116"/>
      <c r="AP378" s="116"/>
      <c r="AQ378" s="116"/>
      <c r="AR378" s="170">
        <f t="shared" si="313"/>
        <v>0</v>
      </c>
      <c r="AS378" s="417">
        <f t="shared" si="268"/>
        <v>87.967554964822895</v>
      </c>
    </row>
    <row r="379" spans="1:45" ht="15" customHeight="1" thickBot="1">
      <c r="A379" s="424" t="s">
        <v>139</v>
      </c>
      <c r="B379" s="230"/>
      <c r="C379" s="230" t="s">
        <v>427</v>
      </c>
      <c r="D379" s="232">
        <f t="shared" si="320"/>
        <v>1733903.98</v>
      </c>
      <c r="E379" s="232">
        <f t="shared" ref="E379" si="322">E397</f>
        <v>1733903.98</v>
      </c>
      <c r="F379" s="232">
        <f t="shared" si="320"/>
        <v>233601.14</v>
      </c>
      <c r="G379" s="232">
        <f>G397</f>
        <v>1733836.1</v>
      </c>
      <c r="H379" s="232"/>
      <c r="I379" s="320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91"/>
      <c r="Z379" s="191"/>
      <c r="AA379" s="191"/>
      <c r="AB379" s="191"/>
      <c r="AC379" s="191"/>
      <c r="AD379" s="191"/>
      <c r="AE379" s="191"/>
      <c r="AF379" s="191"/>
      <c r="AG379" s="316">
        <f t="shared" si="279"/>
        <v>0</v>
      </c>
      <c r="AH379" s="315">
        <f t="shared" si="277"/>
        <v>233601.14</v>
      </c>
      <c r="AI379" s="232"/>
      <c r="AJ379" s="232">
        <f t="shared" si="309"/>
        <v>1733836.1</v>
      </c>
      <c r="AK379" s="233">
        <f t="shared" si="310"/>
        <v>67.879999999888241</v>
      </c>
      <c r="AL379" s="234">
        <f t="shared" si="311"/>
        <v>67.879999999888241</v>
      </c>
      <c r="AM379" s="160"/>
      <c r="AN379" s="116"/>
      <c r="AO379" s="116"/>
      <c r="AP379" s="116"/>
      <c r="AQ379" s="116"/>
      <c r="AR379" s="170">
        <f t="shared" si="313"/>
        <v>0</v>
      </c>
      <c r="AS379" s="417">
        <f t="shared" si="268"/>
        <v>99.996085135002701</v>
      </c>
    </row>
    <row r="380" spans="1:45" ht="13.5" customHeight="1" thickBot="1">
      <c r="A380" s="424" t="s">
        <v>147</v>
      </c>
      <c r="B380" s="230"/>
      <c r="C380" s="230" t="s">
        <v>428</v>
      </c>
      <c r="D380" s="232">
        <f t="shared" si="320"/>
        <v>331300</v>
      </c>
      <c r="E380" s="232">
        <f t="shared" ref="E380" si="323">E398</f>
        <v>331300</v>
      </c>
      <c r="F380" s="232">
        <f t="shared" si="320"/>
        <v>222082.98</v>
      </c>
      <c r="G380" s="232">
        <f t="shared" si="320"/>
        <v>331291.7</v>
      </c>
      <c r="H380" s="232"/>
      <c r="I380" s="320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316">
        <f t="shared" si="279"/>
        <v>0</v>
      </c>
      <c r="AH380" s="315">
        <f t="shared" si="277"/>
        <v>222082.98</v>
      </c>
      <c r="AI380" s="232"/>
      <c r="AJ380" s="232">
        <f t="shared" si="309"/>
        <v>331291.7</v>
      </c>
      <c r="AK380" s="233">
        <f t="shared" si="310"/>
        <v>8.2999999999883585</v>
      </c>
      <c r="AL380" s="234">
        <f t="shared" si="311"/>
        <v>8.2999999999883585</v>
      </c>
      <c r="AM380" s="160"/>
      <c r="AN380" s="116"/>
      <c r="AO380" s="116"/>
      <c r="AP380" s="116"/>
      <c r="AQ380" s="116"/>
      <c r="AR380" s="170">
        <f t="shared" si="313"/>
        <v>0</v>
      </c>
      <c r="AS380" s="417">
        <f t="shared" si="268"/>
        <v>99.997494717778451</v>
      </c>
    </row>
    <row r="381" spans="1:45" ht="13.5" customHeight="1" thickBot="1">
      <c r="A381" s="424" t="s">
        <v>826</v>
      </c>
      <c r="B381" s="230"/>
      <c r="C381" s="230" t="s">
        <v>824</v>
      </c>
      <c r="D381" s="232">
        <f>D424</f>
        <v>4852</v>
      </c>
      <c r="E381" s="232">
        <f>E424</f>
        <v>4852</v>
      </c>
      <c r="F381" s="232">
        <f t="shared" ref="F381:G381" si="324">F424</f>
        <v>0</v>
      </c>
      <c r="G381" s="232">
        <f t="shared" si="324"/>
        <v>4851.07</v>
      </c>
      <c r="H381" s="232"/>
      <c r="I381" s="320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  <c r="AD381" s="191"/>
      <c r="AE381" s="191"/>
      <c r="AF381" s="191"/>
      <c r="AG381" s="316"/>
      <c r="AH381" s="315"/>
      <c r="AI381" s="232"/>
      <c r="AJ381" s="232">
        <f t="shared" si="309"/>
        <v>4851.07</v>
      </c>
      <c r="AK381" s="233">
        <f t="shared" si="310"/>
        <v>0.93000000000029104</v>
      </c>
      <c r="AL381" s="234">
        <f t="shared" si="311"/>
        <v>0.93000000000029104</v>
      </c>
      <c r="AM381" s="160"/>
      <c r="AN381" s="116"/>
      <c r="AO381" s="116"/>
      <c r="AP381" s="116"/>
      <c r="AQ381" s="116"/>
      <c r="AR381" s="170"/>
      <c r="AS381" s="417">
        <f t="shared" si="268"/>
        <v>99.980832646331407</v>
      </c>
    </row>
    <row r="382" spans="1:45" ht="12.6" customHeight="1" thickBot="1">
      <c r="A382" s="424" t="s">
        <v>88</v>
      </c>
      <c r="B382" s="230"/>
      <c r="C382" s="230" t="s">
        <v>429</v>
      </c>
      <c r="D382" s="232">
        <f>D400</f>
        <v>2882</v>
      </c>
      <c r="E382" s="232">
        <f>E400</f>
        <v>2882</v>
      </c>
      <c r="F382" s="232">
        <f>F400</f>
        <v>0</v>
      </c>
      <c r="G382" s="232">
        <f>G400</f>
        <v>2216.92</v>
      </c>
      <c r="H382" s="232"/>
      <c r="I382" s="320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  <c r="AE382" s="191"/>
      <c r="AF382" s="191"/>
      <c r="AG382" s="316">
        <f t="shared" si="279"/>
        <v>0</v>
      </c>
      <c r="AH382" s="315">
        <f t="shared" si="277"/>
        <v>0</v>
      </c>
      <c r="AI382" s="232"/>
      <c r="AJ382" s="232">
        <f>G382</f>
        <v>2216.92</v>
      </c>
      <c r="AK382" s="233">
        <f t="shared" si="310"/>
        <v>665.07999999999993</v>
      </c>
      <c r="AL382" s="234">
        <f t="shared" si="311"/>
        <v>665.07999999999993</v>
      </c>
      <c r="AM382" s="160"/>
      <c r="AN382" s="116"/>
      <c r="AO382" s="116"/>
      <c r="AP382" s="116"/>
      <c r="AQ382" s="116"/>
      <c r="AR382" s="170">
        <f t="shared" si="313"/>
        <v>0</v>
      </c>
      <c r="AS382" s="417">
        <f t="shared" si="268"/>
        <v>76.922970159611381</v>
      </c>
    </row>
    <row r="383" spans="1:45" ht="13.5" customHeight="1" thickBot="1">
      <c r="A383" s="424" t="s">
        <v>141</v>
      </c>
      <c r="B383" s="230"/>
      <c r="C383" s="230" t="s">
        <v>430</v>
      </c>
      <c r="D383" s="232">
        <f>D384+D385</f>
        <v>1192589</v>
      </c>
      <c r="E383" s="232">
        <f>E384+E385</f>
        <v>1192589</v>
      </c>
      <c r="F383" s="232">
        <f>F384+F385</f>
        <v>94550.34</v>
      </c>
      <c r="G383" s="232">
        <f>G384+G385</f>
        <v>1192587.76</v>
      </c>
      <c r="H383" s="232"/>
      <c r="I383" s="320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  <c r="AD383" s="191"/>
      <c r="AE383" s="191"/>
      <c r="AF383" s="191"/>
      <c r="AG383" s="316">
        <f t="shared" si="279"/>
        <v>0</v>
      </c>
      <c r="AH383" s="315">
        <f t="shared" si="277"/>
        <v>94550.34</v>
      </c>
      <c r="AI383" s="232"/>
      <c r="AJ383" s="232">
        <f>G383</f>
        <v>1192587.76</v>
      </c>
      <c r="AK383" s="233">
        <f t="shared" si="310"/>
        <v>1.2399999999906868</v>
      </c>
      <c r="AL383" s="234">
        <f t="shared" si="311"/>
        <v>1.2399999999906868</v>
      </c>
      <c r="AM383" s="160"/>
      <c r="AN383" s="116"/>
      <c r="AO383" s="116"/>
      <c r="AP383" s="116"/>
      <c r="AQ383" s="116"/>
      <c r="AR383" s="170">
        <f t="shared" si="313"/>
        <v>0</v>
      </c>
      <c r="AS383" s="417">
        <f t="shared" si="268"/>
        <v>99.999896024531495</v>
      </c>
    </row>
    <row r="384" spans="1:45" ht="13.5" customHeight="1" thickBot="1">
      <c r="A384" s="424" t="s">
        <v>143</v>
      </c>
      <c r="B384" s="230"/>
      <c r="C384" s="230" t="s">
        <v>431</v>
      </c>
      <c r="D384" s="232">
        <f t="shared" ref="D384:G385" si="325">D402</f>
        <v>325982</v>
      </c>
      <c r="E384" s="232">
        <f t="shared" ref="E384" si="326">E402</f>
        <v>325982</v>
      </c>
      <c r="F384" s="232">
        <f t="shared" si="325"/>
        <v>77605.399999999994</v>
      </c>
      <c r="G384" s="232">
        <f t="shared" si="325"/>
        <v>325982</v>
      </c>
      <c r="H384" s="232"/>
      <c r="I384" s="320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316">
        <f t="shared" si="279"/>
        <v>0</v>
      </c>
      <c r="AH384" s="315">
        <f t="shared" si="277"/>
        <v>77605.399999999994</v>
      </c>
      <c r="AI384" s="232"/>
      <c r="AJ384" s="232">
        <f>G384</f>
        <v>325982</v>
      </c>
      <c r="AK384" s="233">
        <f t="shared" si="310"/>
        <v>0</v>
      </c>
      <c r="AL384" s="234">
        <f t="shared" si="311"/>
        <v>0</v>
      </c>
      <c r="AM384" s="160"/>
      <c r="AN384" s="116"/>
      <c r="AO384" s="116"/>
      <c r="AP384" s="116"/>
      <c r="AQ384" s="116"/>
      <c r="AR384" s="170">
        <f t="shared" si="313"/>
        <v>0</v>
      </c>
      <c r="AS384" s="417">
        <f t="shared" si="268"/>
        <v>100</v>
      </c>
    </row>
    <row r="385" spans="1:45" ht="13.5" customHeight="1" thickBot="1">
      <c r="A385" s="424" t="s">
        <v>721</v>
      </c>
      <c r="B385" s="230"/>
      <c r="C385" s="230" t="s">
        <v>432</v>
      </c>
      <c r="D385" s="232">
        <f t="shared" si="325"/>
        <v>866607</v>
      </c>
      <c r="E385" s="232">
        <f t="shared" ref="E385" si="327">E403</f>
        <v>866607</v>
      </c>
      <c r="F385" s="232">
        <f>F403</f>
        <v>16944.940000000002</v>
      </c>
      <c r="G385" s="232">
        <f>G403</f>
        <v>866605.76</v>
      </c>
      <c r="H385" s="232"/>
      <c r="I385" s="320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316">
        <f t="shared" si="279"/>
        <v>0</v>
      </c>
      <c r="AH385" s="315">
        <f t="shared" si="277"/>
        <v>16944.940000000002</v>
      </c>
      <c r="AI385" s="232"/>
      <c r="AJ385" s="232">
        <f>G385</f>
        <v>866605.76</v>
      </c>
      <c r="AK385" s="233">
        <f t="shared" si="310"/>
        <v>1.2399999999906868</v>
      </c>
      <c r="AL385" s="234">
        <f t="shared" si="311"/>
        <v>1.2399999999906868</v>
      </c>
      <c r="AM385" s="160"/>
      <c r="AN385" s="116"/>
      <c r="AO385" s="116"/>
      <c r="AP385" s="116"/>
      <c r="AQ385" s="116"/>
      <c r="AR385" s="170">
        <f t="shared" si="313"/>
        <v>0</v>
      </c>
      <c r="AS385" s="417">
        <f t="shared" si="268"/>
        <v>99.999856913225955</v>
      </c>
    </row>
    <row r="386" spans="1:45" ht="16.5" customHeight="1" thickBot="1">
      <c r="A386" s="427" t="s">
        <v>131</v>
      </c>
      <c r="B386" s="221"/>
      <c r="C386" s="215" t="s">
        <v>504</v>
      </c>
      <c r="D386" s="216">
        <f>D388+D401</f>
        <v>13080320.48</v>
      </c>
      <c r="E386" s="216">
        <f>E388+E401</f>
        <v>13080320.48</v>
      </c>
      <c r="F386" s="216">
        <f t="shared" ref="F386:G386" si="328">F388+F401</f>
        <v>3972512.19</v>
      </c>
      <c r="G386" s="216">
        <f t="shared" si="328"/>
        <v>12635283.209999999</v>
      </c>
      <c r="H386" s="216"/>
      <c r="I386" s="32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316">
        <f t="shared" si="279"/>
        <v>0</v>
      </c>
      <c r="AH386" s="315">
        <f t="shared" si="277"/>
        <v>3972512.19</v>
      </c>
      <c r="AI386" s="217"/>
      <c r="AJ386" s="216">
        <f>G386</f>
        <v>12635283.209999999</v>
      </c>
      <c r="AK386" s="219">
        <f t="shared" si="310"/>
        <v>445037.27000000142</v>
      </c>
      <c r="AL386" s="220">
        <f t="shared" si="311"/>
        <v>445037.27000000142</v>
      </c>
      <c r="AM386" s="161"/>
      <c r="AN386" s="115"/>
      <c r="AO386" s="115"/>
      <c r="AP386" s="115"/>
      <c r="AQ386" s="115"/>
      <c r="AR386" s="170">
        <f t="shared" si="313"/>
        <v>0</v>
      </c>
      <c r="AS386" s="417">
        <f t="shared" si="268"/>
        <v>96.597657750966661</v>
      </c>
    </row>
    <row r="387" spans="1:45" ht="11.25" customHeight="1" thickBot="1">
      <c r="A387" s="428"/>
      <c r="B387" s="221"/>
      <c r="C387" s="222" t="s">
        <v>778</v>
      </c>
      <c r="D387" s="239"/>
      <c r="E387" s="239"/>
      <c r="F387" s="239"/>
      <c r="G387" s="239"/>
      <c r="H387" s="239"/>
      <c r="I387" s="322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316">
        <f t="shared" si="279"/>
        <v>0</v>
      </c>
      <c r="AH387" s="315">
        <f t="shared" si="277"/>
        <v>0</v>
      </c>
      <c r="AI387" s="217"/>
      <c r="AJ387" s="239"/>
      <c r="AK387" s="219"/>
      <c r="AL387" s="220"/>
      <c r="AM387" s="161"/>
      <c r="AN387" s="115"/>
      <c r="AO387" s="115"/>
      <c r="AP387" s="115"/>
      <c r="AQ387" s="115"/>
      <c r="AR387" s="170">
        <f t="shared" si="313"/>
        <v>0</v>
      </c>
      <c r="AS387" s="417" t="e">
        <f t="shared" si="268"/>
        <v>#DIV/0!</v>
      </c>
    </row>
    <row r="388" spans="1:45" ht="15" customHeight="1" thickBot="1">
      <c r="A388" s="428" t="s">
        <v>133</v>
      </c>
      <c r="B388" s="221"/>
      <c r="C388" s="221" t="s">
        <v>433</v>
      </c>
      <c r="D388" s="217">
        <f>D390+D393+D400+D389</f>
        <v>11887731.48</v>
      </c>
      <c r="E388" s="217">
        <f>E390+E393+E400+E389</f>
        <v>11887731.48</v>
      </c>
      <c r="F388" s="217">
        <f t="shared" ref="F388:G388" si="329">F390+F393+F400+F389</f>
        <v>3877961.85</v>
      </c>
      <c r="G388" s="217">
        <f t="shared" si="329"/>
        <v>11442695.449999999</v>
      </c>
      <c r="H388" s="217"/>
      <c r="I388" s="320"/>
      <c r="J388" s="191"/>
      <c r="K388" s="191"/>
      <c r="L388" s="191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  <c r="AA388" s="191"/>
      <c r="AB388" s="191"/>
      <c r="AC388" s="191"/>
      <c r="AD388" s="191"/>
      <c r="AE388" s="191"/>
      <c r="AF388" s="191"/>
      <c r="AG388" s="316">
        <f t="shared" si="279"/>
        <v>0</v>
      </c>
      <c r="AH388" s="315">
        <f t="shared" si="277"/>
        <v>3877961.85</v>
      </c>
      <c r="AI388" s="217"/>
      <c r="AJ388" s="217">
        <f t="shared" ref="AJ388:AJ402" si="330">G388</f>
        <v>11442695.449999999</v>
      </c>
      <c r="AK388" s="219">
        <f t="shared" ref="AK388:AK411" si="331">D388-AJ388</f>
        <v>445036.03000000119</v>
      </c>
      <c r="AL388" s="220">
        <f t="shared" ref="AL388:AL411" si="332">E388-AJ388</f>
        <v>445036.03000000119</v>
      </c>
      <c r="AM388" s="161"/>
      <c r="AN388" s="115"/>
      <c r="AO388" s="115"/>
      <c r="AP388" s="115"/>
      <c r="AQ388" s="115"/>
      <c r="AR388" s="170">
        <f t="shared" si="313"/>
        <v>0</v>
      </c>
      <c r="AS388" s="417">
        <f t="shared" si="268"/>
        <v>96.256341836550291</v>
      </c>
    </row>
    <row r="389" spans="1:45" ht="20.45" customHeight="1" thickBot="1">
      <c r="A389" s="428" t="s">
        <v>740</v>
      </c>
      <c r="B389" s="221"/>
      <c r="C389" s="221" t="s">
        <v>572</v>
      </c>
      <c r="D389" s="217">
        <f>D414+D441</f>
        <v>29100</v>
      </c>
      <c r="E389" s="217">
        <f>E414+E441</f>
        <v>29100</v>
      </c>
      <c r="F389" s="217">
        <f>F414</f>
        <v>0</v>
      </c>
      <c r="G389" s="217">
        <f>G414+G441</f>
        <v>24032.43</v>
      </c>
      <c r="H389" s="217"/>
      <c r="I389" s="320"/>
      <c r="J389" s="191"/>
      <c r="K389" s="191"/>
      <c r="L389" s="191"/>
      <c r="M389" s="191"/>
      <c r="N389" s="191"/>
      <c r="O389" s="191"/>
      <c r="P389" s="191"/>
      <c r="Q389" s="191"/>
      <c r="R389" s="191"/>
      <c r="S389" s="191"/>
      <c r="T389" s="191"/>
      <c r="U389" s="191"/>
      <c r="V389" s="191"/>
      <c r="W389" s="191"/>
      <c r="X389" s="191"/>
      <c r="Y389" s="191"/>
      <c r="Z389" s="191"/>
      <c r="AA389" s="191"/>
      <c r="AB389" s="191"/>
      <c r="AC389" s="191"/>
      <c r="AD389" s="191"/>
      <c r="AE389" s="191"/>
      <c r="AF389" s="191"/>
      <c r="AG389" s="316"/>
      <c r="AH389" s="315"/>
      <c r="AI389" s="217"/>
      <c r="AJ389" s="217">
        <f t="shared" si="330"/>
        <v>24032.43</v>
      </c>
      <c r="AK389" s="219">
        <f t="shared" si="331"/>
        <v>5067.57</v>
      </c>
      <c r="AL389" s="220">
        <f t="shared" si="332"/>
        <v>5067.57</v>
      </c>
      <c r="AM389" s="161"/>
      <c r="AN389" s="115"/>
      <c r="AO389" s="115"/>
      <c r="AP389" s="115"/>
      <c r="AQ389" s="115"/>
      <c r="AR389" s="170"/>
      <c r="AS389" s="417">
        <f t="shared" ref="AS389:AS469" si="333">G389/E389*100</f>
        <v>82.585670103092795</v>
      </c>
    </row>
    <row r="390" spans="1:45" ht="15" customHeight="1" thickBot="1">
      <c r="A390" s="428" t="s">
        <v>134</v>
      </c>
      <c r="B390" s="221"/>
      <c r="C390" s="221" t="s">
        <v>434</v>
      </c>
      <c r="D390" s="217">
        <f>D391+D392</f>
        <v>7337697</v>
      </c>
      <c r="E390" s="217">
        <f>E391+E392</f>
        <v>7337697</v>
      </c>
      <c r="F390" s="217">
        <f t="shared" ref="F390:G390" si="334">F391+F392</f>
        <v>2443401.17</v>
      </c>
      <c r="G390" s="217">
        <f t="shared" si="334"/>
        <v>7191191.5299999993</v>
      </c>
      <c r="H390" s="217"/>
      <c r="I390" s="320"/>
      <c r="J390" s="191"/>
      <c r="K390" s="191"/>
      <c r="L390" s="191"/>
      <c r="M390" s="191"/>
      <c r="N390" s="191"/>
      <c r="O390" s="191"/>
      <c r="P390" s="191"/>
      <c r="Q390" s="191"/>
      <c r="R390" s="191"/>
      <c r="S390" s="191"/>
      <c r="T390" s="191"/>
      <c r="U390" s="191"/>
      <c r="V390" s="191"/>
      <c r="W390" s="191"/>
      <c r="X390" s="191"/>
      <c r="Y390" s="191"/>
      <c r="Z390" s="191"/>
      <c r="AA390" s="191"/>
      <c r="AB390" s="191"/>
      <c r="AC390" s="191"/>
      <c r="AD390" s="191"/>
      <c r="AE390" s="191"/>
      <c r="AF390" s="191"/>
      <c r="AG390" s="316">
        <f t="shared" si="279"/>
        <v>0</v>
      </c>
      <c r="AH390" s="315">
        <f t="shared" si="277"/>
        <v>2443401.17</v>
      </c>
      <c r="AI390" s="217"/>
      <c r="AJ390" s="217">
        <f t="shared" si="330"/>
        <v>7191191.5299999993</v>
      </c>
      <c r="AK390" s="219">
        <f t="shared" si="331"/>
        <v>146505.47000000067</v>
      </c>
      <c r="AL390" s="220">
        <f t="shared" si="332"/>
        <v>146505.47000000067</v>
      </c>
      <c r="AM390" s="161"/>
      <c r="AN390" s="115"/>
      <c r="AO390" s="115"/>
      <c r="AP390" s="115"/>
      <c r="AQ390" s="115"/>
      <c r="AR390" s="170">
        <f t="shared" si="313"/>
        <v>0</v>
      </c>
      <c r="AS390" s="417">
        <f t="shared" si="333"/>
        <v>98.003386212322468</v>
      </c>
    </row>
    <row r="391" spans="1:45" ht="14.25" customHeight="1" thickBot="1">
      <c r="A391" s="428" t="s">
        <v>85</v>
      </c>
      <c r="B391" s="221"/>
      <c r="C391" s="221" t="s">
        <v>435</v>
      </c>
      <c r="D391" s="217">
        <f>D413+D440+D452</f>
        <v>5631128</v>
      </c>
      <c r="E391" s="217">
        <f>E413+E440+E452</f>
        <v>5631128</v>
      </c>
      <c r="F391" s="217">
        <f>F413+F440+F452</f>
        <v>1881200.88</v>
      </c>
      <c r="G391" s="217">
        <f>G413+G440+G452</f>
        <v>5524116.3599999994</v>
      </c>
      <c r="H391" s="217"/>
      <c r="I391" s="320"/>
      <c r="J391" s="191"/>
      <c r="K391" s="191"/>
      <c r="L391" s="191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  <c r="AA391" s="191"/>
      <c r="AB391" s="191"/>
      <c r="AC391" s="191"/>
      <c r="AD391" s="191"/>
      <c r="AE391" s="191"/>
      <c r="AF391" s="191"/>
      <c r="AG391" s="316">
        <f t="shared" si="279"/>
        <v>0</v>
      </c>
      <c r="AH391" s="315">
        <f t="shared" si="277"/>
        <v>1881200.88</v>
      </c>
      <c r="AI391" s="217"/>
      <c r="AJ391" s="217">
        <f t="shared" si="330"/>
        <v>5524116.3599999994</v>
      </c>
      <c r="AK391" s="219">
        <f t="shared" si="331"/>
        <v>107011.6400000006</v>
      </c>
      <c r="AL391" s="220">
        <f t="shared" si="332"/>
        <v>107011.6400000006</v>
      </c>
      <c r="AM391" s="161"/>
      <c r="AN391" s="115"/>
      <c r="AO391" s="115"/>
      <c r="AP391" s="115"/>
      <c r="AQ391" s="115"/>
      <c r="AR391" s="170">
        <f t="shared" si="313"/>
        <v>0</v>
      </c>
      <c r="AS391" s="417">
        <f t="shared" si="333"/>
        <v>98.099641137619315</v>
      </c>
    </row>
    <row r="392" spans="1:45" ht="15" customHeight="1" thickBot="1">
      <c r="A392" s="428" t="s">
        <v>135</v>
      </c>
      <c r="B392" s="221"/>
      <c r="C392" s="221" t="s">
        <v>436</v>
      </c>
      <c r="D392" s="217">
        <f>D415+D442+D453</f>
        <v>1706569</v>
      </c>
      <c r="E392" s="217">
        <f>E415+E442+E453</f>
        <v>1706569</v>
      </c>
      <c r="F392" s="217">
        <f>F415+F442+F453</f>
        <v>562200.29</v>
      </c>
      <c r="G392" s="217">
        <f>G415+G442+G453</f>
        <v>1667075.17</v>
      </c>
      <c r="H392" s="217"/>
      <c r="I392" s="320"/>
      <c r="J392" s="191"/>
      <c r="K392" s="191"/>
      <c r="L392" s="191"/>
      <c r="M392" s="191"/>
      <c r="N392" s="191"/>
      <c r="O392" s="191"/>
      <c r="P392" s="191"/>
      <c r="Q392" s="191"/>
      <c r="R392" s="191"/>
      <c r="S392" s="191"/>
      <c r="T392" s="191"/>
      <c r="U392" s="191"/>
      <c r="V392" s="191"/>
      <c r="W392" s="191"/>
      <c r="X392" s="191"/>
      <c r="Y392" s="191"/>
      <c r="Z392" s="191"/>
      <c r="AA392" s="191"/>
      <c r="AB392" s="191"/>
      <c r="AC392" s="191"/>
      <c r="AD392" s="191"/>
      <c r="AE392" s="191"/>
      <c r="AF392" s="191"/>
      <c r="AG392" s="316">
        <f t="shared" si="279"/>
        <v>0</v>
      </c>
      <c r="AH392" s="315">
        <f t="shared" si="277"/>
        <v>562200.29</v>
      </c>
      <c r="AI392" s="217"/>
      <c r="AJ392" s="217">
        <f t="shared" si="330"/>
        <v>1667075.17</v>
      </c>
      <c r="AK392" s="219">
        <f t="shared" si="331"/>
        <v>39493.830000000075</v>
      </c>
      <c r="AL392" s="220">
        <f t="shared" si="332"/>
        <v>39493.830000000075</v>
      </c>
      <c r="AM392" s="161"/>
      <c r="AN392" s="115"/>
      <c r="AO392" s="115"/>
      <c r="AP392" s="115"/>
      <c r="AQ392" s="115"/>
      <c r="AR392" s="170">
        <f t="shared" si="313"/>
        <v>0</v>
      </c>
      <c r="AS392" s="417">
        <f t="shared" si="333"/>
        <v>97.68577596335102</v>
      </c>
    </row>
    <row r="393" spans="1:45" ht="14.25" customHeight="1" thickBot="1">
      <c r="A393" s="428" t="s">
        <v>136</v>
      </c>
      <c r="B393" s="221"/>
      <c r="C393" s="221" t="s">
        <v>437</v>
      </c>
      <c r="D393" s="217">
        <f>D396+D397+D398+D399+D395+D394</f>
        <v>4518052.4800000004</v>
      </c>
      <c r="E393" s="217">
        <f>E396+E397+E398+E399+E395+E394</f>
        <v>4518052.4800000004</v>
      </c>
      <c r="F393" s="217">
        <f t="shared" ref="F393:G393" si="335">F396+F397+F398+F399+F395+F394</f>
        <v>1434560.6800000002</v>
      </c>
      <c r="G393" s="217">
        <f t="shared" si="335"/>
        <v>4225254.57</v>
      </c>
      <c r="H393" s="217"/>
      <c r="I393" s="320"/>
      <c r="J393" s="191"/>
      <c r="K393" s="191"/>
      <c r="L393" s="191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91"/>
      <c r="Z393" s="191"/>
      <c r="AA393" s="191"/>
      <c r="AB393" s="191"/>
      <c r="AC393" s="191"/>
      <c r="AD393" s="191"/>
      <c r="AE393" s="191"/>
      <c r="AF393" s="191"/>
      <c r="AG393" s="316">
        <f t="shared" si="279"/>
        <v>0</v>
      </c>
      <c r="AH393" s="315">
        <f t="shared" si="277"/>
        <v>1434560.6800000002</v>
      </c>
      <c r="AI393" s="217"/>
      <c r="AJ393" s="217">
        <f t="shared" si="330"/>
        <v>4225254.57</v>
      </c>
      <c r="AK393" s="219">
        <f t="shared" si="331"/>
        <v>292797.91000000015</v>
      </c>
      <c r="AL393" s="220">
        <f t="shared" si="332"/>
        <v>292797.91000000015</v>
      </c>
      <c r="AM393" s="161"/>
      <c r="AN393" s="115"/>
      <c r="AO393" s="115"/>
      <c r="AP393" s="115"/>
      <c r="AQ393" s="115"/>
      <c r="AR393" s="170">
        <f t="shared" si="313"/>
        <v>0</v>
      </c>
      <c r="AS393" s="417">
        <f t="shared" si="333"/>
        <v>93.519377844854063</v>
      </c>
    </row>
    <row r="394" spans="1:45" ht="14.25" customHeight="1" thickBot="1">
      <c r="A394" s="428" t="s">
        <v>87</v>
      </c>
      <c r="B394" s="221"/>
      <c r="C394" s="221" t="s">
        <v>983</v>
      </c>
      <c r="D394" s="217">
        <f>D416</f>
        <v>13902</v>
      </c>
      <c r="E394" s="217">
        <f>E416</f>
        <v>13902</v>
      </c>
      <c r="F394" s="217"/>
      <c r="G394" s="217">
        <f>G416</f>
        <v>13901.769999999999</v>
      </c>
      <c r="H394" s="217"/>
      <c r="I394" s="320"/>
      <c r="J394" s="191"/>
      <c r="K394" s="191"/>
      <c r="L394" s="191"/>
      <c r="M394" s="191"/>
      <c r="N394" s="191"/>
      <c r="O394" s="191"/>
      <c r="P394" s="191"/>
      <c r="Q394" s="191"/>
      <c r="R394" s="191"/>
      <c r="S394" s="191"/>
      <c r="T394" s="191"/>
      <c r="U394" s="191"/>
      <c r="V394" s="191"/>
      <c r="W394" s="191"/>
      <c r="X394" s="191"/>
      <c r="Y394" s="191"/>
      <c r="Z394" s="191"/>
      <c r="AA394" s="191"/>
      <c r="AB394" s="191"/>
      <c r="AC394" s="191"/>
      <c r="AD394" s="191"/>
      <c r="AE394" s="191"/>
      <c r="AF394" s="191"/>
      <c r="AG394" s="316"/>
      <c r="AH394" s="315"/>
      <c r="AI394" s="217"/>
      <c r="AJ394" s="217">
        <f t="shared" si="330"/>
        <v>13901.769999999999</v>
      </c>
      <c r="AK394" s="219">
        <f t="shared" si="331"/>
        <v>0.23000000000138243</v>
      </c>
      <c r="AL394" s="220">
        <f t="shared" si="332"/>
        <v>0.23000000000138243</v>
      </c>
      <c r="AM394" s="161"/>
      <c r="AN394" s="115"/>
      <c r="AO394" s="115"/>
      <c r="AP394" s="115"/>
      <c r="AQ394" s="115"/>
      <c r="AR394" s="170"/>
    </row>
    <row r="395" spans="1:45" ht="14.25" customHeight="1" thickBot="1">
      <c r="A395" s="428" t="s">
        <v>137</v>
      </c>
      <c r="B395" s="221"/>
      <c r="C395" s="221" t="s">
        <v>960</v>
      </c>
      <c r="D395" s="217">
        <f>D417</f>
        <v>1334</v>
      </c>
      <c r="E395" s="217">
        <f>E417</f>
        <v>1334</v>
      </c>
      <c r="F395" s="217"/>
      <c r="G395" s="217">
        <f>G417</f>
        <v>1334</v>
      </c>
      <c r="H395" s="217"/>
      <c r="I395" s="320"/>
      <c r="J395" s="191"/>
      <c r="K395" s="191"/>
      <c r="L395" s="191"/>
      <c r="M395" s="191"/>
      <c r="N395" s="191"/>
      <c r="O395" s="191"/>
      <c r="P395" s="191"/>
      <c r="Q395" s="191"/>
      <c r="R395" s="191"/>
      <c r="S395" s="191"/>
      <c r="T395" s="191"/>
      <c r="U395" s="191"/>
      <c r="V395" s="191"/>
      <c r="W395" s="191"/>
      <c r="X395" s="191"/>
      <c r="Y395" s="191"/>
      <c r="Z395" s="191"/>
      <c r="AA395" s="191"/>
      <c r="AB395" s="191"/>
      <c r="AC395" s="191"/>
      <c r="AD395" s="191"/>
      <c r="AE395" s="191"/>
      <c r="AF395" s="191"/>
      <c r="AG395" s="316"/>
      <c r="AH395" s="315"/>
      <c r="AI395" s="217"/>
      <c r="AJ395" s="217">
        <f t="shared" si="330"/>
        <v>1334</v>
      </c>
      <c r="AK395" s="219">
        <f t="shared" si="331"/>
        <v>0</v>
      </c>
      <c r="AL395" s="220">
        <f t="shared" si="332"/>
        <v>0</v>
      </c>
      <c r="AM395" s="161"/>
      <c r="AN395" s="115"/>
      <c r="AO395" s="115"/>
      <c r="AP395" s="115"/>
      <c r="AQ395" s="115"/>
      <c r="AR395" s="170"/>
    </row>
    <row r="396" spans="1:45" ht="15.75" customHeight="1" thickBot="1">
      <c r="A396" s="428" t="s">
        <v>138</v>
      </c>
      <c r="B396" s="221"/>
      <c r="C396" s="221" t="s">
        <v>438</v>
      </c>
      <c r="D396" s="217">
        <f>D420+D421</f>
        <v>2432760.5</v>
      </c>
      <c r="E396" s="217">
        <f>E420+E421</f>
        <v>2432760.5</v>
      </c>
      <c r="F396" s="217">
        <f t="shared" ref="F396" si="336">F420</f>
        <v>978876.56</v>
      </c>
      <c r="G396" s="217">
        <f>G420+G421</f>
        <v>2140039.9300000002</v>
      </c>
      <c r="H396" s="217"/>
      <c r="I396" s="320"/>
      <c r="J396" s="191"/>
      <c r="K396" s="191"/>
      <c r="L396" s="191"/>
      <c r="M396" s="191"/>
      <c r="N396" s="191"/>
      <c r="O396" s="191"/>
      <c r="P396" s="191"/>
      <c r="Q396" s="191"/>
      <c r="R396" s="191"/>
      <c r="S396" s="191"/>
      <c r="T396" s="191"/>
      <c r="U396" s="191"/>
      <c r="V396" s="191"/>
      <c r="W396" s="191"/>
      <c r="X396" s="191"/>
      <c r="Y396" s="191"/>
      <c r="Z396" s="191"/>
      <c r="AA396" s="191"/>
      <c r="AB396" s="191"/>
      <c r="AC396" s="191"/>
      <c r="AD396" s="191"/>
      <c r="AE396" s="191"/>
      <c r="AF396" s="191"/>
      <c r="AG396" s="316">
        <f t="shared" si="279"/>
        <v>0</v>
      </c>
      <c r="AH396" s="315">
        <f t="shared" si="277"/>
        <v>978876.56</v>
      </c>
      <c r="AI396" s="217"/>
      <c r="AJ396" s="217">
        <f t="shared" si="330"/>
        <v>2140039.9300000002</v>
      </c>
      <c r="AK396" s="219">
        <f t="shared" si="331"/>
        <v>292720.56999999983</v>
      </c>
      <c r="AL396" s="220">
        <f t="shared" si="332"/>
        <v>292720.56999999983</v>
      </c>
      <c r="AM396" s="161"/>
      <c r="AN396" s="115"/>
      <c r="AO396" s="115"/>
      <c r="AP396" s="115"/>
      <c r="AQ396" s="115"/>
      <c r="AR396" s="170">
        <f t="shared" si="313"/>
        <v>0</v>
      </c>
      <c r="AS396" s="417">
        <f t="shared" si="333"/>
        <v>87.967554964822895</v>
      </c>
    </row>
    <row r="397" spans="1:45" ht="15" customHeight="1" thickBot="1">
      <c r="A397" s="428" t="s">
        <v>139</v>
      </c>
      <c r="B397" s="221"/>
      <c r="C397" s="221" t="s">
        <v>439</v>
      </c>
      <c r="D397" s="217">
        <f>D422</f>
        <v>1733903.98</v>
      </c>
      <c r="E397" s="217">
        <f>E422</f>
        <v>1733903.98</v>
      </c>
      <c r="F397" s="217">
        <f t="shared" ref="F397:G397" si="337">F422</f>
        <v>233601.14</v>
      </c>
      <c r="G397" s="217">
        <f t="shared" si="337"/>
        <v>1733836.1</v>
      </c>
      <c r="H397" s="217"/>
      <c r="I397" s="320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  <c r="AB397" s="191"/>
      <c r="AC397" s="191"/>
      <c r="AD397" s="191"/>
      <c r="AE397" s="191"/>
      <c r="AF397" s="191"/>
      <c r="AG397" s="316">
        <f t="shared" si="279"/>
        <v>0</v>
      </c>
      <c r="AH397" s="315">
        <f t="shared" si="277"/>
        <v>233601.14</v>
      </c>
      <c r="AI397" s="217"/>
      <c r="AJ397" s="217">
        <f t="shared" si="330"/>
        <v>1733836.1</v>
      </c>
      <c r="AK397" s="219">
        <f t="shared" si="331"/>
        <v>67.879999999888241</v>
      </c>
      <c r="AL397" s="220">
        <f t="shared" si="332"/>
        <v>67.879999999888241</v>
      </c>
      <c r="AM397" s="161"/>
      <c r="AN397" s="115"/>
      <c r="AO397" s="115"/>
      <c r="AP397" s="115"/>
      <c r="AQ397" s="115"/>
      <c r="AR397" s="170">
        <f t="shared" si="313"/>
        <v>0</v>
      </c>
      <c r="AS397" s="417">
        <f t="shared" si="333"/>
        <v>99.996085135002701</v>
      </c>
    </row>
    <row r="398" spans="1:45" ht="15" customHeight="1" thickBot="1">
      <c r="A398" s="428" t="s">
        <v>147</v>
      </c>
      <c r="B398" s="221"/>
      <c r="C398" s="221" t="s">
        <v>440</v>
      </c>
      <c r="D398" s="217">
        <f>D423+D443+D418</f>
        <v>331300</v>
      </c>
      <c r="E398" s="217">
        <f>E423+E443+E418</f>
        <v>331300</v>
      </c>
      <c r="F398" s="217">
        <f>F423+F443</f>
        <v>222082.98</v>
      </c>
      <c r="G398" s="217">
        <f>G423+G443</f>
        <v>331291.7</v>
      </c>
      <c r="H398" s="217"/>
      <c r="I398" s="320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  <c r="AB398" s="191"/>
      <c r="AC398" s="191"/>
      <c r="AD398" s="191"/>
      <c r="AE398" s="191"/>
      <c r="AF398" s="191"/>
      <c r="AG398" s="316">
        <f t="shared" si="279"/>
        <v>0</v>
      </c>
      <c r="AH398" s="315">
        <f t="shared" si="277"/>
        <v>222082.98</v>
      </c>
      <c r="AI398" s="217"/>
      <c r="AJ398" s="217">
        <f t="shared" si="330"/>
        <v>331291.7</v>
      </c>
      <c r="AK398" s="219">
        <f t="shared" si="331"/>
        <v>8.2999999999883585</v>
      </c>
      <c r="AL398" s="220">
        <f t="shared" si="332"/>
        <v>8.2999999999883585</v>
      </c>
      <c r="AM398" s="161"/>
      <c r="AN398" s="115"/>
      <c r="AO398" s="115"/>
      <c r="AP398" s="115"/>
      <c r="AQ398" s="115"/>
      <c r="AR398" s="170">
        <f t="shared" si="313"/>
        <v>0</v>
      </c>
      <c r="AS398" s="417">
        <f t="shared" si="333"/>
        <v>99.997494717778451</v>
      </c>
    </row>
    <row r="399" spans="1:45" ht="15" customHeight="1" thickBot="1">
      <c r="A399" s="428" t="s">
        <v>826</v>
      </c>
      <c r="B399" s="221"/>
      <c r="C399" s="221" t="s">
        <v>825</v>
      </c>
      <c r="D399" s="217">
        <f>D424</f>
        <v>4852</v>
      </c>
      <c r="E399" s="217">
        <f>E424</f>
        <v>4852</v>
      </c>
      <c r="F399" s="217">
        <f t="shared" ref="F399:G399" si="338">F424</f>
        <v>0</v>
      </c>
      <c r="G399" s="217">
        <f t="shared" si="338"/>
        <v>4851.07</v>
      </c>
      <c r="H399" s="217"/>
      <c r="I399" s="320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  <c r="AB399" s="191"/>
      <c r="AC399" s="191"/>
      <c r="AD399" s="191"/>
      <c r="AE399" s="191"/>
      <c r="AF399" s="191"/>
      <c r="AG399" s="316"/>
      <c r="AH399" s="315"/>
      <c r="AI399" s="217"/>
      <c r="AJ399" s="217">
        <f t="shared" si="330"/>
        <v>4851.07</v>
      </c>
      <c r="AK399" s="219">
        <f t="shared" si="331"/>
        <v>0.93000000000029104</v>
      </c>
      <c r="AL399" s="220">
        <f t="shared" si="332"/>
        <v>0.93000000000029104</v>
      </c>
      <c r="AM399" s="161"/>
      <c r="AN399" s="115"/>
      <c r="AO399" s="115"/>
      <c r="AP399" s="115"/>
      <c r="AQ399" s="115"/>
      <c r="AR399" s="170"/>
      <c r="AS399" s="417">
        <f t="shared" si="333"/>
        <v>99.980832646331407</v>
      </c>
    </row>
    <row r="400" spans="1:45" ht="14.1" customHeight="1" thickBot="1">
      <c r="A400" s="428" t="s">
        <v>88</v>
      </c>
      <c r="B400" s="221"/>
      <c r="C400" s="221" t="s">
        <v>441</v>
      </c>
      <c r="D400" s="217">
        <f>D433+D434+D435+D436+D437+D432</f>
        <v>2882</v>
      </c>
      <c r="E400" s="217">
        <f>E433+E434+E435+E436+E437+E432</f>
        <v>2882</v>
      </c>
      <c r="F400" s="217">
        <f t="shared" ref="F400:G400" si="339">F433+F434+F435+F436+F437+F432</f>
        <v>0</v>
      </c>
      <c r="G400" s="217">
        <f t="shared" si="339"/>
        <v>2216.92</v>
      </c>
      <c r="H400" s="217"/>
      <c r="I400" s="320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  <c r="AC400" s="191"/>
      <c r="AD400" s="191"/>
      <c r="AE400" s="191"/>
      <c r="AF400" s="191"/>
      <c r="AG400" s="316">
        <f t="shared" si="279"/>
        <v>0</v>
      </c>
      <c r="AH400" s="315">
        <f t="shared" si="277"/>
        <v>0</v>
      </c>
      <c r="AI400" s="217"/>
      <c r="AJ400" s="217">
        <f t="shared" si="330"/>
        <v>2216.92</v>
      </c>
      <c r="AK400" s="219">
        <f t="shared" si="331"/>
        <v>665.07999999999993</v>
      </c>
      <c r="AL400" s="220">
        <f t="shared" si="332"/>
        <v>665.07999999999993</v>
      </c>
      <c r="AM400" s="161"/>
      <c r="AN400" s="115"/>
      <c r="AO400" s="115"/>
      <c r="AP400" s="115"/>
      <c r="AQ400" s="115"/>
      <c r="AR400" s="170">
        <f t="shared" si="313"/>
        <v>0</v>
      </c>
      <c r="AS400" s="417">
        <f t="shared" si="333"/>
        <v>76.922970159611381</v>
      </c>
    </row>
    <row r="401" spans="1:45" ht="16.5" customHeight="1" thickBot="1">
      <c r="A401" s="428" t="s">
        <v>141</v>
      </c>
      <c r="B401" s="221"/>
      <c r="C401" s="221" t="s">
        <v>442</v>
      </c>
      <c r="D401" s="217">
        <f>D402+D403</f>
        <v>1192589</v>
      </c>
      <c r="E401" s="217">
        <f>E402+E403</f>
        <v>1192589</v>
      </c>
      <c r="F401" s="217">
        <f t="shared" ref="F401:G401" si="340">F402+F403</f>
        <v>94550.34</v>
      </c>
      <c r="G401" s="217">
        <f t="shared" si="340"/>
        <v>1192587.76</v>
      </c>
      <c r="H401" s="217"/>
      <c r="I401" s="320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  <c r="AB401" s="191"/>
      <c r="AC401" s="191"/>
      <c r="AD401" s="191"/>
      <c r="AE401" s="191"/>
      <c r="AF401" s="191"/>
      <c r="AG401" s="316">
        <f t="shared" si="279"/>
        <v>0</v>
      </c>
      <c r="AH401" s="315">
        <f t="shared" si="277"/>
        <v>94550.34</v>
      </c>
      <c r="AI401" s="217"/>
      <c r="AJ401" s="217">
        <f t="shared" si="330"/>
        <v>1192587.76</v>
      </c>
      <c r="AK401" s="219">
        <f t="shared" si="331"/>
        <v>1.2399999999906868</v>
      </c>
      <c r="AL401" s="220">
        <f t="shared" si="332"/>
        <v>1.2399999999906868</v>
      </c>
      <c r="AM401" s="161"/>
      <c r="AN401" s="115"/>
      <c r="AO401" s="115"/>
      <c r="AP401" s="115"/>
      <c r="AQ401" s="115"/>
      <c r="AR401" s="170">
        <f t="shared" si="313"/>
        <v>0</v>
      </c>
      <c r="AS401" s="417">
        <f t="shared" si="333"/>
        <v>99.999896024531495</v>
      </c>
    </row>
    <row r="402" spans="1:45" ht="16.5" customHeight="1" thickBot="1">
      <c r="A402" s="428" t="s">
        <v>143</v>
      </c>
      <c r="B402" s="221"/>
      <c r="C402" s="221" t="s">
        <v>443</v>
      </c>
      <c r="D402" s="217">
        <f>D425+D444+D449</f>
        <v>325982</v>
      </c>
      <c r="E402" s="217">
        <f>E425+E444+E449</f>
        <v>325982</v>
      </c>
      <c r="F402" s="217">
        <f>F425+F444+F449</f>
        <v>77605.399999999994</v>
      </c>
      <c r="G402" s="217">
        <f>G425+G444+G449</f>
        <v>325982</v>
      </c>
      <c r="H402" s="217"/>
      <c r="I402" s="320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  <c r="AC402" s="191"/>
      <c r="AD402" s="191"/>
      <c r="AE402" s="191"/>
      <c r="AF402" s="191"/>
      <c r="AG402" s="316">
        <f t="shared" si="279"/>
        <v>0</v>
      </c>
      <c r="AH402" s="315">
        <f t="shared" si="277"/>
        <v>77605.399999999994</v>
      </c>
      <c r="AI402" s="217"/>
      <c r="AJ402" s="217">
        <f t="shared" si="330"/>
        <v>325982</v>
      </c>
      <c r="AK402" s="219">
        <f t="shared" si="331"/>
        <v>0</v>
      </c>
      <c r="AL402" s="220">
        <f t="shared" si="332"/>
        <v>0</v>
      </c>
      <c r="AM402" s="161"/>
      <c r="AN402" s="115"/>
      <c r="AO402" s="115"/>
      <c r="AP402" s="115"/>
      <c r="AQ402" s="115"/>
      <c r="AR402" s="170">
        <f t="shared" si="313"/>
        <v>0</v>
      </c>
      <c r="AS402" s="417">
        <f t="shared" si="333"/>
        <v>100</v>
      </c>
    </row>
    <row r="403" spans="1:45" ht="16.5" customHeight="1" thickBot="1">
      <c r="A403" s="428" t="s">
        <v>721</v>
      </c>
      <c r="B403" s="221"/>
      <c r="C403" s="221" t="s">
        <v>541</v>
      </c>
      <c r="D403" s="217">
        <f>SUM(D404:D410)</f>
        <v>866607</v>
      </c>
      <c r="E403" s="217">
        <f>SUM(E404:E410)</f>
        <v>866607</v>
      </c>
      <c r="F403" s="217">
        <f t="shared" ref="F403:G403" si="341">SUM(F404:F410)</f>
        <v>16944.940000000002</v>
      </c>
      <c r="G403" s="217">
        <f t="shared" si="341"/>
        <v>866605.76</v>
      </c>
      <c r="H403" s="217"/>
      <c r="I403" s="320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  <c r="AC403" s="191"/>
      <c r="AD403" s="191"/>
      <c r="AE403" s="191"/>
      <c r="AF403" s="191"/>
      <c r="AG403" s="316">
        <f t="shared" si="279"/>
        <v>0</v>
      </c>
      <c r="AH403" s="315">
        <f t="shared" si="277"/>
        <v>16944.940000000002</v>
      </c>
      <c r="AI403" s="217"/>
      <c r="AJ403" s="217">
        <f>G403</f>
        <v>866605.76</v>
      </c>
      <c r="AK403" s="219">
        <f t="shared" si="331"/>
        <v>1.2399999999906868</v>
      </c>
      <c r="AL403" s="220">
        <f t="shared" si="332"/>
        <v>1.2399999999906868</v>
      </c>
      <c r="AM403" s="161"/>
      <c r="AN403" s="115"/>
      <c r="AO403" s="115"/>
      <c r="AP403" s="115"/>
      <c r="AQ403" s="115"/>
      <c r="AR403" s="170">
        <f t="shared" si="313"/>
        <v>0</v>
      </c>
      <c r="AS403" s="417">
        <f t="shared" si="333"/>
        <v>99.999856913225955</v>
      </c>
    </row>
    <row r="404" spans="1:45" ht="16.5" customHeight="1" thickBot="1">
      <c r="A404" s="489" t="s">
        <v>801</v>
      </c>
      <c r="B404" s="221"/>
      <c r="C404" s="221" t="s">
        <v>827</v>
      </c>
      <c r="D404" s="217">
        <f>D426+D445</f>
        <v>55000</v>
      </c>
      <c r="E404" s="217">
        <f>E426+E445</f>
        <v>55000</v>
      </c>
      <c r="F404" s="217">
        <f>F426+F445</f>
        <v>2004.94</v>
      </c>
      <c r="G404" s="217">
        <f>G426+G445</f>
        <v>55000</v>
      </c>
      <c r="H404" s="217"/>
      <c r="I404" s="320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  <c r="AC404" s="191"/>
      <c r="AD404" s="191"/>
      <c r="AE404" s="191"/>
      <c r="AF404" s="191"/>
      <c r="AG404" s="316"/>
      <c r="AH404" s="315"/>
      <c r="AI404" s="217"/>
      <c r="AJ404" s="217">
        <f t="shared" ref="AJ404:AJ410" si="342">G404</f>
        <v>55000</v>
      </c>
      <c r="AK404" s="219">
        <f t="shared" si="331"/>
        <v>0</v>
      </c>
      <c r="AL404" s="220">
        <f t="shared" si="332"/>
        <v>0</v>
      </c>
      <c r="AM404" s="161"/>
      <c r="AN404" s="115"/>
      <c r="AO404" s="115"/>
      <c r="AP404" s="115"/>
      <c r="AQ404" s="115"/>
      <c r="AR404" s="170"/>
      <c r="AS404" s="417">
        <f t="shared" si="333"/>
        <v>100</v>
      </c>
    </row>
    <row r="405" spans="1:45" ht="18.600000000000001" customHeight="1" thickBot="1">
      <c r="A405" s="489" t="s">
        <v>813</v>
      </c>
      <c r="B405" s="221"/>
      <c r="C405" s="221" t="s">
        <v>828</v>
      </c>
      <c r="D405" s="217">
        <f t="shared" ref="D405:E405" si="343">D427</f>
        <v>160000</v>
      </c>
      <c r="E405" s="217">
        <f t="shared" si="343"/>
        <v>160000</v>
      </c>
      <c r="F405" s="217">
        <f t="shared" ref="F405:G405" si="344">F427</f>
        <v>0</v>
      </c>
      <c r="G405" s="217">
        <f t="shared" si="344"/>
        <v>159998.93</v>
      </c>
      <c r="H405" s="217"/>
      <c r="I405" s="320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  <c r="AA405" s="191"/>
      <c r="AB405" s="191"/>
      <c r="AC405" s="191"/>
      <c r="AD405" s="191"/>
      <c r="AE405" s="191"/>
      <c r="AF405" s="191"/>
      <c r="AG405" s="316"/>
      <c r="AH405" s="315"/>
      <c r="AI405" s="217"/>
      <c r="AJ405" s="217">
        <f t="shared" si="342"/>
        <v>159998.93</v>
      </c>
      <c r="AK405" s="219">
        <f t="shared" si="331"/>
        <v>1.0700000000069849</v>
      </c>
      <c r="AL405" s="220">
        <f t="shared" si="332"/>
        <v>1.0700000000069849</v>
      </c>
      <c r="AM405" s="161"/>
      <c r="AN405" s="115"/>
      <c r="AO405" s="115"/>
      <c r="AP405" s="115"/>
      <c r="AQ405" s="115"/>
      <c r="AR405" s="170"/>
      <c r="AS405" s="417">
        <f t="shared" si="333"/>
        <v>99.999331249999997</v>
      </c>
    </row>
    <row r="406" spans="1:45" ht="16.5" hidden="1" customHeight="1" thickBot="1">
      <c r="A406" s="489" t="s">
        <v>814</v>
      </c>
      <c r="B406" s="221"/>
      <c r="C406" s="221" t="s">
        <v>1013</v>
      </c>
      <c r="D406" s="217">
        <f>D428</f>
        <v>0</v>
      </c>
      <c r="E406" s="217">
        <f>E428</f>
        <v>0</v>
      </c>
      <c r="F406" s="217">
        <f t="shared" ref="F406:G406" si="345">F428</f>
        <v>0</v>
      </c>
      <c r="G406" s="217">
        <f t="shared" si="345"/>
        <v>0</v>
      </c>
      <c r="H406" s="217"/>
      <c r="I406" s="320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91"/>
      <c r="Z406" s="191"/>
      <c r="AA406" s="191"/>
      <c r="AB406" s="191"/>
      <c r="AC406" s="191"/>
      <c r="AD406" s="191"/>
      <c r="AE406" s="191"/>
      <c r="AF406" s="191"/>
      <c r="AG406" s="316"/>
      <c r="AH406" s="315"/>
      <c r="AI406" s="217"/>
      <c r="AJ406" s="217">
        <f t="shared" si="342"/>
        <v>0</v>
      </c>
      <c r="AK406" s="219">
        <f t="shared" si="331"/>
        <v>0</v>
      </c>
      <c r="AL406" s="220">
        <f t="shared" si="332"/>
        <v>0</v>
      </c>
      <c r="AM406" s="161"/>
      <c r="AN406" s="115"/>
      <c r="AO406" s="115"/>
      <c r="AP406" s="115"/>
      <c r="AQ406" s="115"/>
      <c r="AR406" s="170"/>
      <c r="AS406" s="417" t="e">
        <f t="shared" si="333"/>
        <v>#DIV/0!</v>
      </c>
    </row>
    <row r="407" spans="1:45" ht="17.100000000000001" customHeight="1" thickBot="1">
      <c r="A407" s="489" t="s">
        <v>804</v>
      </c>
      <c r="B407" s="221"/>
      <c r="C407" s="221" t="s">
        <v>970</v>
      </c>
      <c r="D407" s="217">
        <f>D429</f>
        <v>68643</v>
      </c>
      <c r="E407" s="217">
        <f>E429</f>
        <v>68643</v>
      </c>
      <c r="F407" s="217">
        <f t="shared" ref="F407:G407" si="346">F429</f>
        <v>0</v>
      </c>
      <c r="G407" s="217">
        <f t="shared" si="346"/>
        <v>68643</v>
      </c>
      <c r="H407" s="217"/>
      <c r="I407" s="320"/>
      <c r="J407" s="191"/>
      <c r="K407" s="191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X407" s="191"/>
      <c r="Y407" s="191"/>
      <c r="Z407" s="191"/>
      <c r="AA407" s="191"/>
      <c r="AB407" s="191"/>
      <c r="AC407" s="191"/>
      <c r="AD407" s="191"/>
      <c r="AE407" s="191"/>
      <c r="AF407" s="191"/>
      <c r="AG407" s="316"/>
      <c r="AH407" s="315"/>
      <c r="AI407" s="217"/>
      <c r="AJ407" s="217">
        <f t="shared" si="342"/>
        <v>68643</v>
      </c>
      <c r="AK407" s="219">
        <f t="shared" si="331"/>
        <v>0</v>
      </c>
      <c r="AL407" s="220">
        <f t="shared" si="332"/>
        <v>0</v>
      </c>
      <c r="AM407" s="161"/>
      <c r="AN407" s="115"/>
      <c r="AO407" s="115"/>
      <c r="AP407" s="115"/>
      <c r="AQ407" s="115"/>
      <c r="AR407" s="170"/>
      <c r="AS407" s="417">
        <f t="shared" si="333"/>
        <v>100</v>
      </c>
    </row>
    <row r="408" spans="1:45" ht="14.45" customHeight="1" thickBot="1">
      <c r="A408" s="428" t="s">
        <v>319</v>
      </c>
      <c r="B408" s="221"/>
      <c r="C408" s="221" t="s">
        <v>574</v>
      </c>
      <c r="D408" s="217">
        <f>D430+D446</f>
        <v>572070</v>
      </c>
      <c r="E408" s="217">
        <f>E430+E446</f>
        <v>572070</v>
      </c>
      <c r="F408" s="217">
        <f t="shared" ref="F408:G408" si="347">F430+F446</f>
        <v>7470</v>
      </c>
      <c r="G408" s="217">
        <f t="shared" si="347"/>
        <v>572069.82999999996</v>
      </c>
      <c r="H408" s="217"/>
      <c r="I408" s="320"/>
      <c r="J408" s="191"/>
      <c r="K408" s="191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X408" s="191"/>
      <c r="Y408" s="191"/>
      <c r="Z408" s="191"/>
      <c r="AA408" s="191"/>
      <c r="AB408" s="191"/>
      <c r="AC408" s="191"/>
      <c r="AD408" s="191"/>
      <c r="AE408" s="191"/>
      <c r="AF408" s="191"/>
      <c r="AG408" s="316"/>
      <c r="AH408" s="315"/>
      <c r="AI408" s="217"/>
      <c r="AJ408" s="217">
        <f>G408</f>
        <v>572069.82999999996</v>
      </c>
      <c r="AK408" s="219">
        <f t="shared" si="331"/>
        <v>0.17000000004190952</v>
      </c>
      <c r="AL408" s="220">
        <f t="shared" si="332"/>
        <v>0.17000000004190952</v>
      </c>
      <c r="AM408" s="161"/>
      <c r="AN408" s="115"/>
      <c r="AO408" s="115"/>
      <c r="AP408" s="115"/>
      <c r="AQ408" s="115"/>
      <c r="AR408" s="170"/>
      <c r="AS408" s="417">
        <f t="shared" si="333"/>
        <v>99.999970283356916</v>
      </c>
    </row>
    <row r="409" spans="1:45" ht="21" hidden="1" customHeight="1" thickBot="1">
      <c r="A409" s="428" t="s">
        <v>996</v>
      </c>
      <c r="B409" s="221"/>
      <c r="C409" s="221" t="s">
        <v>995</v>
      </c>
      <c r="D409" s="217">
        <f>D450</f>
        <v>0</v>
      </c>
      <c r="E409" s="217">
        <f>E450</f>
        <v>0</v>
      </c>
      <c r="F409" s="217">
        <f t="shared" ref="F409:G409" si="348">F450</f>
        <v>0</v>
      </c>
      <c r="G409" s="217">
        <f t="shared" si="348"/>
        <v>0</v>
      </c>
      <c r="H409" s="217"/>
      <c r="I409" s="320"/>
      <c r="J409" s="191"/>
      <c r="K409" s="191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91"/>
      <c r="Z409" s="191"/>
      <c r="AA409" s="191"/>
      <c r="AB409" s="191"/>
      <c r="AC409" s="191"/>
      <c r="AD409" s="191"/>
      <c r="AE409" s="191"/>
      <c r="AF409" s="191"/>
      <c r="AG409" s="316"/>
      <c r="AH409" s="315"/>
      <c r="AI409" s="217"/>
      <c r="AJ409" s="217">
        <f t="shared" si="342"/>
        <v>0</v>
      </c>
      <c r="AK409" s="219">
        <f t="shared" si="331"/>
        <v>0</v>
      </c>
      <c r="AL409" s="220">
        <f t="shared" si="332"/>
        <v>0</v>
      </c>
      <c r="AM409" s="161"/>
      <c r="AN409" s="115"/>
      <c r="AO409" s="115"/>
      <c r="AP409" s="115"/>
      <c r="AQ409" s="115"/>
      <c r="AR409" s="170"/>
      <c r="AS409" s="417" t="e">
        <f t="shared" si="333"/>
        <v>#DIV/0!</v>
      </c>
    </row>
    <row r="410" spans="1:45" ht="21.6" customHeight="1" thickBot="1">
      <c r="A410" s="428" t="s">
        <v>314</v>
      </c>
      <c r="B410" s="221"/>
      <c r="C410" s="221" t="s">
        <v>575</v>
      </c>
      <c r="D410" s="217">
        <f>D431+D447</f>
        <v>10894</v>
      </c>
      <c r="E410" s="217">
        <f>E431+E447</f>
        <v>10894</v>
      </c>
      <c r="F410" s="217">
        <f t="shared" ref="F410" si="349">F431+F446</f>
        <v>7470</v>
      </c>
      <c r="G410" s="217">
        <f>G431</f>
        <v>10894</v>
      </c>
      <c r="H410" s="217"/>
      <c r="I410" s="320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1"/>
      <c r="Z410" s="191"/>
      <c r="AA410" s="191"/>
      <c r="AB410" s="191"/>
      <c r="AC410" s="191"/>
      <c r="AD410" s="191"/>
      <c r="AE410" s="191"/>
      <c r="AF410" s="191"/>
      <c r="AG410" s="316"/>
      <c r="AH410" s="315"/>
      <c r="AI410" s="217"/>
      <c r="AJ410" s="217">
        <f t="shared" si="342"/>
        <v>10894</v>
      </c>
      <c r="AK410" s="219">
        <f t="shared" si="331"/>
        <v>0</v>
      </c>
      <c r="AL410" s="220">
        <f t="shared" si="332"/>
        <v>0</v>
      </c>
      <c r="AM410" s="161"/>
      <c r="AN410" s="115"/>
      <c r="AO410" s="115"/>
      <c r="AP410" s="115"/>
      <c r="AQ410" s="115"/>
      <c r="AR410" s="170"/>
      <c r="AS410" s="417">
        <f t="shared" si="333"/>
        <v>100</v>
      </c>
    </row>
    <row r="411" spans="1:45" ht="22.5" customHeight="1" thickBot="1">
      <c r="A411" s="398" t="s">
        <v>591</v>
      </c>
      <c r="B411" s="140"/>
      <c r="C411" s="139" t="s">
        <v>505</v>
      </c>
      <c r="D411" s="110">
        <f>D413+D414+D415+D417+D418+D419+D420+D421+D422+D423+D424+D425+D426+D427+D429+D430+D431+D433+D434+D435+D436+D437+D432+D416+D428</f>
        <v>12076137.48</v>
      </c>
      <c r="E411" s="110">
        <f>E413+E414+E415+E417+E418+E419+E420+E421+E422+E423+E424+E425+E426+E427+E429+E430+E431+E433+E434+E435+E436+E437+E432+E416+E428</f>
        <v>12076137.48</v>
      </c>
      <c r="F411" s="110">
        <f t="shared" ref="F411:G411" si="350">F413+F414+F415+F417+F418+F419+F420+F421+F422+F423+F424+F425+F426+F427+F429+F430+F431+F433+F434+F435+F436+F437+F432+F416+F428</f>
        <v>4302239.33</v>
      </c>
      <c r="G411" s="110">
        <f t="shared" si="350"/>
        <v>11639512.399999999</v>
      </c>
      <c r="H411" s="110"/>
      <c r="I411" s="321"/>
      <c r="J411" s="191"/>
      <c r="K411" s="191"/>
      <c r="L411" s="191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91"/>
      <c r="Z411" s="191"/>
      <c r="AA411" s="191"/>
      <c r="AB411" s="191"/>
      <c r="AC411" s="191"/>
      <c r="AD411" s="191"/>
      <c r="AE411" s="191"/>
      <c r="AF411" s="191"/>
      <c r="AG411" s="316">
        <f t="shared" si="279"/>
        <v>0</v>
      </c>
      <c r="AH411" s="315">
        <f t="shared" si="277"/>
        <v>4302239.33</v>
      </c>
      <c r="AI411" s="120"/>
      <c r="AJ411" s="110">
        <f>G411</f>
        <v>11639512.399999999</v>
      </c>
      <c r="AK411" s="113">
        <f t="shared" si="331"/>
        <v>436625.08000000194</v>
      </c>
      <c r="AL411" s="172">
        <f t="shared" si="332"/>
        <v>436625.08000000194</v>
      </c>
      <c r="AM411" s="133"/>
      <c r="AN411" s="110"/>
      <c r="AO411" s="110"/>
      <c r="AP411" s="110"/>
      <c r="AQ411" s="110"/>
      <c r="AR411" s="170">
        <f t="shared" si="313"/>
        <v>0</v>
      </c>
      <c r="AS411" s="417">
        <f t="shared" si="333"/>
        <v>96.3843979026976</v>
      </c>
    </row>
    <row r="412" spans="1:45" ht="11.25" customHeight="1" thickBot="1">
      <c r="A412" s="425"/>
      <c r="B412" s="140"/>
      <c r="C412" s="136" t="s">
        <v>778</v>
      </c>
      <c r="D412" s="111"/>
      <c r="E412" s="111"/>
      <c r="F412" s="111"/>
      <c r="G412" s="111"/>
      <c r="H412" s="111"/>
      <c r="I412" s="322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  <c r="AC412" s="191"/>
      <c r="AD412" s="191"/>
      <c r="AE412" s="191"/>
      <c r="AF412" s="191"/>
      <c r="AG412" s="316">
        <f t="shared" si="279"/>
        <v>0</v>
      </c>
      <c r="AH412" s="315">
        <f t="shared" si="277"/>
        <v>0</v>
      </c>
      <c r="AI412" s="120"/>
      <c r="AJ412" s="111"/>
      <c r="AK412" s="113"/>
      <c r="AL412" s="172"/>
      <c r="AM412" s="133"/>
      <c r="AN412" s="110"/>
      <c r="AO412" s="110"/>
      <c r="AP412" s="110"/>
      <c r="AQ412" s="110"/>
      <c r="AR412" s="170">
        <f t="shared" si="313"/>
        <v>0</v>
      </c>
      <c r="AS412" s="417" t="e">
        <f t="shared" si="333"/>
        <v>#DIV/0!</v>
      </c>
    </row>
    <row r="413" spans="1:45" ht="15.75" customHeight="1" thickBot="1">
      <c r="A413" s="425" t="s">
        <v>85</v>
      </c>
      <c r="B413" s="140"/>
      <c r="C413" s="140" t="s">
        <v>506</v>
      </c>
      <c r="D413" s="120">
        <v>4935974</v>
      </c>
      <c r="E413" s="120">
        <v>4935974</v>
      </c>
      <c r="F413" s="120">
        <v>1109216.01</v>
      </c>
      <c r="G413" s="501">
        <f>346229.82+195631.58+512211.07+338633.61+393419.76+382014.22+186653.53+492469.34+350770.88+156076.36+612507.6+864880.44</f>
        <v>4831498.209999999</v>
      </c>
      <c r="H413" s="120"/>
      <c r="I413" s="320">
        <v>5922.6</v>
      </c>
      <c r="J413" s="191"/>
      <c r="K413" s="191">
        <v>-5922.6</v>
      </c>
      <c r="L413" s="191"/>
      <c r="M413" s="191"/>
      <c r="N413" s="191">
        <v>17000</v>
      </c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91"/>
      <c r="Z413" s="191"/>
      <c r="AA413" s="191"/>
      <c r="AB413" s="191"/>
      <c r="AC413" s="191"/>
      <c r="AD413" s="191"/>
      <c r="AE413" s="191"/>
      <c r="AF413" s="191"/>
      <c r="AG413" s="316">
        <f t="shared" si="279"/>
        <v>17000</v>
      </c>
      <c r="AH413" s="315">
        <f t="shared" si="277"/>
        <v>1126216.01</v>
      </c>
      <c r="AI413" s="120"/>
      <c r="AJ413" s="120">
        <f t="shared" ref="AJ413:AJ433" si="351">G413</f>
        <v>4831498.209999999</v>
      </c>
      <c r="AK413" s="113">
        <f t="shared" ref="AK413:AK438" si="352">D413-AJ413</f>
        <v>104475.79000000097</v>
      </c>
      <c r="AL413" s="172">
        <f t="shared" ref="AL413:AL433" si="353">E413-G413</f>
        <v>104475.79000000097</v>
      </c>
      <c r="AM413" s="166">
        <v>41870.800000000003</v>
      </c>
      <c r="AN413" s="167">
        <v>15142</v>
      </c>
      <c r="AO413" s="167">
        <v>3887</v>
      </c>
      <c r="AP413" s="110"/>
      <c r="AQ413" s="110"/>
      <c r="AR413" s="170">
        <f t="shared" si="313"/>
        <v>60899.8</v>
      </c>
      <c r="AS413" s="417">
        <f t="shared" si="333"/>
        <v>97.883380463511344</v>
      </c>
    </row>
    <row r="414" spans="1:45" ht="24" customHeight="1" thickBot="1">
      <c r="A414" s="425" t="s">
        <v>743</v>
      </c>
      <c r="B414" s="140"/>
      <c r="C414" s="140" t="s">
        <v>744</v>
      </c>
      <c r="D414" s="120">
        <v>29100</v>
      </c>
      <c r="E414" s="120">
        <v>29100</v>
      </c>
      <c r="F414" s="120"/>
      <c r="G414" s="460">
        <f>1990.56+4735.14+1897.83+2303.97+3822.03+1897.83+2303.97+5081.1</f>
        <v>24032.43</v>
      </c>
      <c r="H414" s="120"/>
      <c r="I414" s="320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  <c r="AA414" s="191"/>
      <c r="AB414" s="191"/>
      <c r="AC414" s="191"/>
      <c r="AD414" s="191"/>
      <c r="AE414" s="191"/>
      <c r="AF414" s="191"/>
      <c r="AG414" s="316"/>
      <c r="AH414" s="315"/>
      <c r="AI414" s="120"/>
      <c r="AJ414" s="120">
        <f t="shared" si="351"/>
        <v>24032.43</v>
      </c>
      <c r="AK414" s="113">
        <f t="shared" si="352"/>
        <v>5067.57</v>
      </c>
      <c r="AL414" s="172">
        <f t="shared" si="353"/>
        <v>5067.57</v>
      </c>
      <c r="AM414" s="166"/>
      <c r="AN414" s="167"/>
      <c r="AO414" s="167"/>
      <c r="AP414" s="110"/>
      <c r="AQ414" s="110"/>
      <c r="AR414" s="170"/>
      <c r="AS414" s="417">
        <f t="shared" si="333"/>
        <v>82.585670103092795</v>
      </c>
    </row>
    <row r="415" spans="1:45" ht="15.95" customHeight="1" thickBot="1">
      <c r="A415" s="425" t="s">
        <v>135</v>
      </c>
      <c r="B415" s="140"/>
      <c r="C415" s="140" t="s">
        <v>569</v>
      </c>
      <c r="D415" s="120">
        <v>1491522</v>
      </c>
      <c r="E415" s="120">
        <v>1491522</v>
      </c>
      <c r="F415" s="131">
        <v>329134.92</v>
      </c>
      <c r="G415" s="501">
        <f>104561.42+213768.48+102267.36+118812.77+115368.32+203887.08+98648.33+238449.79+262140.96</f>
        <v>1457904.51</v>
      </c>
      <c r="H415" s="120"/>
      <c r="I415" s="320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>
        <v>1258.5899999999999</v>
      </c>
      <c r="X415" s="191"/>
      <c r="Y415" s="191"/>
      <c r="Z415" s="191"/>
      <c r="AA415" s="191"/>
      <c r="AB415" s="191"/>
      <c r="AC415" s="191"/>
      <c r="AD415" s="191"/>
      <c r="AE415" s="191"/>
      <c r="AF415" s="191"/>
      <c r="AG415" s="316">
        <f t="shared" si="279"/>
        <v>1258.5899999999999</v>
      </c>
      <c r="AH415" s="315">
        <f t="shared" si="277"/>
        <v>330393.51</v>
      </c>
      <c r="AI415" s="120"/>
      <c r="AJ415" s="120">
        <f t="shared" si="351"/>
        <v>1457904.51</v>
      </c>
      <c r="AK415" s="113">
        <f t="shared" si="352"/>
        <v>33617.489999999991</v>
      </c>
      <c r="AL415" s="172">
        <f t="shared" si="353"/>
        <v>33617.489999999991</v>
      </c>
      <c r="AM415" s="166">
        <v>16309.76</v>
      </c>
      <c r="AN415" s="110"/>
      <c r="AO415" s="167">
        <v>16766</v>
      </c>
      <c r="AP415" s="167">
        <v>956.68</v>
      </c>
      <c r="AQ415" s="110"/>
      <c r="AR415" s="170">
        <f t="shared" si="313"/>
        <v>34032.44</v>
      </c>
      <c r="AS415" s="417">
        <f t="shared" si="333"/>
        <v>97.746094928536081</v>
      </c>
    </row>
    <row r="416" spans="1:45" ht="15.95" customHeight="1" thickBot="1">
      <c r="A416" s="425" t="s">
        <v>87</v>
      </c>
      <c r="B416" s="140"/>
      <c r="C416" s="140" t="s">
        <v>984</v>
      </c>
      <c r="D416" s="120">
        <v>13902</v>
      </c>
      <c r="E416" s="120">
        <v>13902</v>
      </c>
      <c r="F416" s="131"/>
      <c r="G416" s="501">
        <f>1219.92+2505.64+1347.53+2506.42+3712.54+1311.67+1298.05</f>
        <v>13901.769999999999</v>
      </c>
      <c r="H416" s="120"/>
      <c r="I416" s="320"/>
      <c r="J416" s="191"/>
      <c r="K416" s="191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91"/>
      <c r="Z416" s="191"/>
      <c r="AA416" s="191"/>
      <c r="AB416" s="191"/>
      <c r="AC416" s="191"/>
      <c r="AD416" s="191"/>
      <c r="AE416" s="191"/>
      <c r="AF416" s="191"/>
      <c r="AG416" s="316"/>
      <c r="AH416" s="315"/>
      <c r="AI416" s="120"/>
      <c r="AJ416" s="120">
        <f>G416</f>
        <v>13901.769999999999</v>
      </c>
      <c r="AK416" s="113">
        <f t="shared" si="352"/>
        <v>0.23000000000138243</v>
      </c>
      <c r="AL416" s="172">
        <f>E416-G416</f>
        <v>0.23000000000138243</v>
      </c>
      <c r="AM416" s="166"/>
      <c r="AN416" s="110"/>
      <c r="AO416" s="167"/>
      <c r="AP416" s="167"/>
      <c r="AQ416" s="110"/>
      <c r="AR416" s="170"/>
      <c r="AS416" s="417">
        <f t="shared" si="333"/>
        <v>99.998345561789662</v>
      </c>
    </row>
    <row r="417" spans="1:45" ht="16.5" customHeight="1" thickBot="1">
      <c r="A417" s="425" t="s">
        <v>137</v>
      </c>
      <c r="B417" s="140"/>
      <c r="C417" s="140" t="s">
        <v>946</v>
      </c>
      <c r="D417" s="120">
        <v>1334</v>
      </c>
      <c r="E417" s="120">
        <v>1334</v>
      </c>
      <c r="F417" s="120">
        <v>233601.14</v>
      </c>
      <c r="G417" s="502">
        <v>1334</v>
      </c>
      <c r="H417" s="120"/>
      <c r="I417" s="320">
        <v>4900</v>
      </c>
      <c r="J417" s="191"/>
      <c r="K417" s="191"/>
      <c r="L417" s="191"/>
      <c r="M417" s="191"/>
      <c r="N417" s="191"/>
      <c r="O417" s="191">
        <v>1254</v>
      </c>
      <c r="P417" s="191"/>
      <c r="Q417" s="191">
        <v>2926</v>
      </c>
      <c r="R417" s="191">
        <v>2467.08</v>
      </c>
      <c r="S417" s="191">
        <v>4900</v>
      </c>
      <c r="T417" s="191"/>
      <c r="U417" s="191"/>
      <c r="V417" s="191">
        <v>2467.08</v>
      </c>
      <c r="W417" s="191"/>
      <c r="X417" s="191"/>
      <c r="Y417" s="191"/>
      <c r="Z417" s="191"/>
      <c r="AA417" s="191"/>
      <c r="AB417" s="191"/>
      <c r="AC417" s="191"/>
      <c r="AD417" s="191"/>
      <c r="AE417" s="191"/>
      <c r="AF417" s="191"/>
      <c r="AG417" s="316">
        <f t="shared" ref="AG417:AG418" si="354">SUM(I417:AF417)</f>
        <v>18914.160000000003</v>
      </c>
      <c r="AH417" s="315">
        <f t="shared" si="277"/>
        <v>252515.30000000002</v>
      </c>
      <c r="AI417" s="120"/>
      <c r="AJ417" s="120">
        <f t="shared" ref="AJ417:AJ418" si="355">G417</f>
        <v>1334</v>
      </c>
      <c r="AK417" s="113">
        <f t="shared" ref="AK417:AK418" si="356">D417-AJ417</f>
        <v>0</v>
      </c>
      <c r="AL417" s="172">
        <f t="shared" ref="AL417:AL418" si="357">E417-G417</f>
        <v>0</v>
      </c>
      <c r="AM417" s="166">
        <v>400</v>
      </c>
      <c r="AN417" s="110"/>
      <c r="AO417" s="110"/>
      <c r="AP417" s="110"/>
      <c r="AQ417" s="110"/>
      <c r="AR417" s="170">
        <f t="shared" ref="AR417:AR418" si="358">AM417+AN417+AO417+AP417+AQ417</f>
        <v>400</v>
      </c>
      <c r="AS417" s="417">
        <f t="shared" si="333"/>
        <v>100</v>
      </c>
    </row>
    <row r="418" spans="1:45" ht="17.25" hidden="1" customHeight="1" thickBot="1">
      <c r="A418" s="425" t="s">
        <v>147</v>
      </c>
      <c r="B418" s="140"/>
      <c r="C418" s="140" t="s">
        <v>884</v>
      </c>
      <c r="D418" s="120">
        <v>0</v>
      </c>
      <c r="E418" s="120">
        <v>0</v>
      </c>
      <c r="F418" s="120">
        <v>190293.92</v>
      </c>
      <c r="G418" s="120"/>
      <c r="H418" s="120"/>
      <c r="I418" s="320"/>
      <c r="J418" s="191"/>
      <c r="K418" s="191">
        <v>9334</v>
      </c>
      <c r="L418" s="191"/>
      <c r="M418" s="191"/>
      <c r="N418" s="191">
        <v>4785</v>
      </c>
      <c r="O418" s="191">
        <v>4461.3</v>
      </c>
      <c r="P418" s="191"/>
      <c r="Q418" s="445">
        <v>43197</v>
      </c>
      <c r="R418" s="191"/>
      <c r="S418" s="191"/>
      <c r="T418" s="191"/>
      <c r="U418" s="191"/>
      <c r="V418" s="191"/>
      <c r="W418" s="191"/>
      <c r="X418" s="191"/>
      <c r="Y418" s="191"/>
      <c r="Z418" s="191"/>
      <c r="AA418" s="191"/>
      <c r="AB418" s="191"/>
      <c r="AC418" s="191"/>
      <c r="AD418" s="191"/>
      <c r="AE418" s="191"/>
      <c r="AF418" s="191"/>
      <c r="AG418" s="316">
        <f t="shared" si="354"/>
        <v>61777.3</v>
      </c>
      <c r="AH418" s="315">
        <f t="shared" si="277"/>
        <v>252071.22000000003</v>
      </c>
      <c r="AI418" s="113"/>
      <c r="AJ418" s="120">
        <f t="shared" si="355"/>
        <v>0</v>
      </c>
      <c r="AK418" s="113">
        <f t="shared" si="356"/>
        <v>0</v>
      </c>
      <c r="AL418" s="172">
        <f t="shared" si="357"/>
        <v>0</v>
      </c>
      <c r="AM418" s="166">
        <v>0.02</v>
      </c>
      <c r="AN418" s="167">
        <v>3319</v>
      </c>
      <c r="AO418" s="167">
        <v>10000</v>
      </c>
      <c r="AP418" s="167">
        <v>20000</v>
      </c>
      <c r="AQ418" s="167">
        <v>12000</v>
      </c>
      <c r="AR418" s="170">
        <f t="shared" si="358"/>
        <v>45319.020000000004</v>
      </c>
      <c r="AS418" s="417" t="e">
        <f t="shared" si="333"/>
        <v>#DIV/0!</v>
      </c>
    </row>
    <row r="419" spans="1:45" ht="17.25" hidden="1" customHeight="1" thickBot="1">
      <c r="A419" s="425" t="s">
        <v>139</v>
      </c>
      <c r="B419" s="140"/>
      <c r="C419" s="140" t="s">
        <v>818</v>
      </c>
      <c r="D419" s="120"/>
      <c r="E419" s="120"/>
      <c r="F419" s="120">
        <v>29274.76</v>
      </c>
      <c r="G419" s="120"/>
      <c r="H419" s="120"/>
      <c r="I419" s="320"/>
      <c r="J419" s="191">
        <v>3405.48</v>
      </c>
      <c r="K419" s="191"/>
      <c r="L419" s="191"/>
      <c r="M419" s="191"/>
      <c r="N419" s="191"/>
      <c r="O419" s="191"/>
      <c r="P419" s="191"/>
      <c r="Q419" s="191"/>
      <c r="R419" s="191"/>
      <c r="S419" s="191"/>
      <c r="T419" s="191"/>
      <c r="U419" s="191"/>
      <c r="V419" s="191"/>
      <c r="W419" s="191"/>
      <c r="X419" s="191"/>
      <c r="Y419" s="191"/>
      <c r="Z419" s="191"/>
      <c r="AA419" s="191"/>
      <c r="AB419" s="191"/>
      <c r="AC419" s="191"/>
      <c r="AD419" s="191"/>
      <c r="AE419" s="191"/>
      <c r="AF419" s="191"/>
      <c r="AG419" s="316">
        <f t="shared" si="279"/>
        <v>3405.48</v>
      </c>
      <c r="AH419" s="315">
        <f t="shared" si="277"/>
        <v>32680.239999999998</v>
      </c>
      <c r="AI419" s="120"/>
      <c r="AJ419" s="120">
        <f>G419</f>
        <v>0</v>
      </c>
      <c r="AK419" s="113">
        <f t="shared" si="352"/>
        <v>0</v>
      </c>
      <c r="AL419" s="172">
        <f t="shared" si="353"/>
        <v>0</v>
      </c>
      <c r="AM419" s="166">
        <v>531</v>
      </c>
      <c r="AN419" s="110"/>
      <c r="AO419" s="110"/>
      <c r="AP419" s="110"/>
      <c r="AQ419" s="110"/>
      <c r="AR419" s="170">
        <f t="shared" si="313"/>
        <v>531</v>
      </c>
      <c r="AS419" s="417" t="e">
        <f t="shared" si="333"/>
        <v>#DIV/0!</v>
      </c>
    </row>
    <row r="420" spans="1:45" ht="15.75" customHeight="1" thickBot="1">
      <c r="A420" s="425" t="s">
        <v>138</v>
      </c>
      <c r="B420" s="140"/>
      <c r="C420" s="140" t="s">
        <v>882</v>
      </c>
      <c r="D420" s="120">
        <v>2387271.7999999998</v>
      </c>
      <c r="E420" s="120">
        <v>2387271.7999999998</v>
      </c>
      <c r="F420" s="131">
        <v>978876.56</v>
      </c>
      <c r="G420" s="502">
        <f>23323.13+826872.25+278312.79+113467.22+15673.99+12361.46+30986.85+11161.39+17734.2+194431.31-398.81+572658.18</f>
        <v>2096583.96</v>
      </c>
      <c r="H420" s="120"/>
      <c r="I420" s="320"/>
      <c r="J420" s="191"/>
      <c r="K420" s="191"/>
      <c r="L420" s="191"/>
      <c r="M420" s="191"/>
      <c r="N420" s="191"/>
      <c r="O420" s="191">
        <v>6040.3</v>
      </c>
      <c r="P420" s="191"/>
      <c r="Q420" s="191"/>
      <c r="R420" s="191">
        <v>1195.02</v>
      </c>
      <c r="S420" s="191"/>
      <c r="T420" s="191"/>
      <c r="U420" s="191"/>
      <c r="V420" s="191">
        <v>115423.66</v>
      </c>
      <c r="W420" s="191"/>
      <c r="X420" s="191"/>
      <c r="Y420" s="191"/>
      <c r="Z420" s="191"/>
      <c r="AA420" s="191"/>
      <c r="AB420" s="191"/>
      <c r="AC420" s="191"/>
      <c r="AD420" s="191"/>
      <c r="AE420" s="191"/>
      <c r="AF420" s="191"/>
      <c r="AG420" s="316">
        <f t="shared" ref="AG420:AG499" si="359">SUM(I420:AF420)</f>
        <v>122658.98000000001</v>
      </c>
      <c r="AH420" s="315">
        <f t="shared" ref="AH420:AH498" si="360">F420+AG420</f>
        <v>1101535.54</v>
      </c>
      <c r="AI420" s="120"/>
      <c r="AJ420" s="120">
        <f t="shared" si="351"/>
        <v>2096583.96</v>
      </c>
      <c r="AK420" s="113">
        <f t="shared" si="352"/>
        <v>290687.83999999985</v>
      </c>
      <c r="AL420" s="172">
        <f t="shared" si="353"/>
        <v>290687.83999999985</v>
      </c>
      <c r="AM420" s="133"/>
      <c r="AN420" s="110"/>
      <c r="AO420" s="110"/>
      <c r="AP420" s="110"/>
      <c r="AQ420" s="110"/>
      <c r="AR420" s="170">
        <f t="shared" si="313"/>
        <v>0</v>
      </c>
      <c r="AS420" s="417">
        <f t="shared" si="333"/>
        <v>87.823429238346478</v>
      </c>
    </row>
    <row r="421" spans="1:45" ht="15.75" customHeight="1" thickBot="1">
      <c r="A421" s="425" t="s">
        <v>138</v>
      </c>
      <c r="B421" s="140"/>
      <c r="C421" s="140" t="s">
        <v>507</v>
      </c>
      <c r="D421" s="120">
        <v>45488.7</v>
      </c>
      <c r="E421" s="120">
        <v>45488.7</v>
      </c>
      <c r="F421" s="131">
        <v>978876.56</v>
      </c>
      <c r="G421" s="502">
        <f>503+251.5+3625.79+13248.2+6213.19+251.5+3738.96+3263.44+3678.88+2891.78+5789.73</f>
        <v>43455.97</v>
      </c>
      <c r="H421" s="120"/>
      <c r="I421" s="320"/>
      <c r="J421" s="191"/>
      <c r="K421" s="191"/>
      <c r="L421" s="191"/>
      <c r="M421" s="191"/>
      <c r="N421" s="191"/>
      <c r="O421" s="191">
        <v>6040.3</v>
      </c>
      <c r="P421" s="191"/>
      <c r="Q421" s="191"/>
      <c r="R421" s="191">
        <v>1195.02</v>
      </c>
      <c r="S421" s="191"/>
      <c r="T421" s="191"/>
      <c r="U421" s="191"/>
      <c r="V421" s="191">
        <v>115423.66</v>
      </c>
      <c r="W421" s="191"/>
      <c r="X421" s="191"/>
      <c r="Y421" s="191"/>
      <c r="Z421" s="191"/>
      <c r="AA421" s="191"/>
      <c r="AB421" s="191"/>
      <c r="AC421" s="191"/>
      <c r="AD421" s="191"/>
      <c r="AE421" s="191"/>
      <c r="AF421" s="191"/>
      <c r="AG421" s="316">
        <f t="shared" ref="AG421" si="361">SUM(I421:AF421)</f>
        <v>122658.98000000001</v>
      </c>
      <c r="AH421" s="315">
        <f t="shared" ref="AH421" si="362">F421+AG421</f>
        <v>1101535.54</v>
      </c>
      <c r="AI421" s="120"/>
      <c r="AJ421" s="120">
        <f t="shared" ref="AJ421" si="363">G421</f>
        <v>43455.97</v>
      </c>
      <c r="AK421" s="113">
        <f t="shared" ref="AK421" si="364">D421-AJ421</f>
        <v>2032.7299999999959</v>
      </c>
      <c r="AL421" s="172">
        <f t="shared" ref="AL421" si="365">E421-G421</f>
        <v>2032.7299999999959</v>
      </c>
      <c r="AM421" s="133"/>
      <c r="AN421" s="110"/>
      <c r="AO421" s="110"/>
      <c r="AP421" s="110"/>
      <c r="AQ421" s="110"/>
      <c r="AR421" s="170">
        <f t="shared" ref="AR421" si="366">AM421+AN421+AO421+AP421+AQ421</f>
        <v>0</v>
      </c>
      <c r="AS421" s="417">
        <f t="shared" si="333"/>
        <v>95.531351742300842</v>
      </c>
    </row>
    <row r="422" spans="1:45" ht="15.95" customHeight="1" thickBot="1">
      <c r="A422" s="425" t="s">
        <v>139</v>
      </c>
      <c r="B422" s="140"/>
      <c r="C422" s="140" t="s">
        <v>508</v>
      </c>
      <c r="D422" s="120">
        <v>1733903.98</v>
      </c>
      <c r="E422" s="120">
        <v>1733903.98</v>
      </c>
      <c r="F422" s="120">
        <v>233601.14</v>
      </c>
      <c r="G422" s="502">
        <f>45350+176880+76100+7100+7100+123114+405892.1+220000+56200+37100+504900+74100</f>
        <v>1733836.1</v>
      </c>
      <c r="H422" s="120"/>
      <c r="I422" s="320">
        <v>4900</v>
      </c>
      <c r="J422" s="191"/>
      <c r="K422" s="191"/>
      <c r="L422" s="191"/>
      <c r="M422" s="191"/>
      <c r="N422" s="191"/>
      <c r="O422" s="191">
        <v>1254</v>
      </c>
      <c r="P422" s="191"/>
      <c r="Q422" s="191">
        <v>2926</v>
      </c>
      <c r="R422" s="191">
        <v>2467.08</v>
      </c>
      <c r="S422" s="191">
        <v>4900</v>
      </c>
      <c r="T422" s="191"/>
      <c r="U422" s="191"/>
      <c r="V422" s="191">
        <v>2467.08</v>
      </c>
      <c r="W422" s="191"/>
      <c r="X422" s="191"/>
      <c r="Y422" s="191"/>
      <c r="Z422" s="191"/>
      <c r="AA422" s="191"/>
      <c r="AB422" s="191"/>
      <c r="AC422" s="191"/>
      <c r="AD422" s="191"/>
      <c r="AE422" s="191"/>
      <c r="AF422" s="191"/>
      <c r="AG422" s="316">
        <f t="shared" si="359"/>
        <v>18914.160000000003</v>
      </c>
      <c r="AH422" s="315">
        <f t="shared" si="360"/>
        <v>252515.30000000002</v>
      </c>
      <c r="AI422" s="120"/>
      <c r="AJ422" s="120">
        <f t="shared" si="351"/>
        <v>1733836.1</v>
      </c>
      <c r="AK422" s="113">
        <f t="shared" si="352"/>
        <v>67.879999999888241</v>
      </c>
      <c r="AL422" s="172">
        <f t="shared" si="353"/>
        <v>67.879999999888241</v>
      </c>
      <c r="AM422" s="166">
        <v>400</v>
      </c>
      <c r="AN422" s="110"/>
      <c r="AO422" s="110"/>
      <c r="AP422" s="110"/>
      <c r="AQ422" s="110"/>
      <c r="AR422" s="170">
        <f t="shared" si="313"/>
        <v>400</v>
      </c>
      <c r="AS422" s="417">
        <f t="shared" si="333"/>
        <v>99.996085135002701</v>
      </c>
    </row>
    <row r="423" spans="1:45" ht="15.75" customHeight="1" thickBot="1">
      <c r="A423" s="425" t="s">
        <v>147</v>
      </c>
      <c r="B423" s="140"/>
      <c r="C423" s="140" t="s">
        <v>509</v>
      </c>
      <c r="D423" s="120">
        <v>294300</v>
      </c>
      <c r="E423" s="120">
        <v>294300</v>
      </c>
      <c r="F423" s="120">
        <v>190293.92</v>
      </c>
      <c r="G423" s="120">
        <f>15080+5000+76970+15080+22640+46867.1+3500+28514.6+25400+3500+26120+25620</f>
        <v>294291.7</v>
      </c>
      <c r="H423" s="120"/>
      <c r="I423" s="320"/>
      <c r="J423" s="191"/>
      <c r="K423" s="191">
        <v>9334</v>
      </c>
      <c r="L423" s="191"/>
      <c r="M423" s="191"/>
      <c r="N423" s="191">
        <v>4785</v>
      </c>
      <c r="O423" s="191">
        <v>4461.3</v>
      </c>
      <c r="P423" s="191"/>
      <c r="Q423" s="445">
        <v>43197</v>
      </c>
      <c r="R423" s="191"/>
      <c r="S423" s="191"/>
      <c r="T423" s="191"/>
      <c r="U423" s="191"/>
      <c r="V423" s="191"/>
      <c r="W423" s="191"/>
      <c r="X423" s="191"/>
      <c r="Y423" s="191"/>
      <c r="Z423" s="191"/>
      <c r="AA423" s="191"/>
      <c r="AB423" s="191"/>
      <c r="AC423" s="191"/>
      <c r="AD423" s="191"/>
      <c r="AE423" s="191"/>
      <c r="AF423" s="191"/>
      <c r="AG423" s="316">
        <f t="shared" si="359"/>
        <v>61777.3</v>
      </c>
      <c r="AH423" s="315">
        <f t="shared" si="360"/>
        <v>252071.22000000003</v>
      </c>
      <c r="AI423" s="113"/>
      <c r="AJ423" s="120">
        <f t="shared" si="351"/>
        <v>294291.7</v>
      </c>
      <c r="AK423" s="113">
        <f t="shared" si="352"/>
        <v>8.2999999999883585</v>
      </c>
      <c r="AL423" s="172">
        <f t="shared" si="353"/>
        <v>8.2999999999883585</v>
      </c>
      <c r="AM423" s="166">
        <v>0.02</v>
      </c>
      <c r="AN423" s="167">
        <v>3319</v>
      </c>
      <c r="AO423" s="167">
        <v>10000</v>
      </c>
      <c r="AP423" s="167">
        <v>20000</v>
      </c>
      <c r="AQ423" s="167">
        <v>12000</v>
      </c>
      <c r="AR423" s="170">
        <f t="shared" si="313"/>
        <v>45319.020000000004</v>
      </c>
      <c r="AS423" s="417">
        <f t="shared" si="333"/>
        <v>99.997179748555894</v>
      </c>
    </row>
    <row r="424" spans="1:45" ht="15" customHeight="1" thickBot="1">
      <c r="A424" s="425" t="s">
        <v>826</v>
      </c>
      <c r="B424" s="140"/>
      <c r="C424" s="140" t="s">
        <v>823</v>
      </c>
      <c r="D424" s="120">
        <v>4852</v>
      </c>
      <c r="E424" s="120">
        <v>4852</v>
      </c>
      <c r="F424" s="120"/>
      <c r="G424" s="120">
        <v>4851.07</v>
      </c>
      <c r="H424" s="120"/>
      <c r="I424" s="320"/>
      <c r="J424" s="191"/>
      <c r="K424" s="191"/>
      <c r="L424" s="191"/>
      <c r="M424" s="191"/>
      <c r="N424" s="498"/>
      <c r="O424" s="191"/>
      <c r="P424" s="191"/>
      <c r="Q424" s="499"/>
      <c r="R424" s="191"/>
      <c r="S424" s="191"/>
      <c r="T424" s="191"/>
      <c r="U424" s="191"/>
      <c r="V424" s="191"/>
      <c r="W424" s="191"/>
      <c r="X424" s="191"/>
      <c r="Y424" s="191"/>
      <c r="Z424" s="191"/>
      <c r="AA424" s="191"/>
      <c r="AB424" s="191"/>
      <c r="AC424" s="191"/>
      <c r="AD424" s="191"/>
      <c r="AE424" s="191"/>
      <c r="AF424" s="191"/>
      <c r="AG424" s="316"/>
      <c r="AH424" s="315"/>
      <c r="AI424" s="113"/>
      <c r="AJ424" s="120">
        <f t="shared" si="351"/>
        <v>4851.07</v>
      </c>
      <c r="AK424" s="113">
        <f t="shared" si="352"/>
        <v>0.93000000000029104</v>
      </c>
      <c r="AL424" s="172">
        <f t="shared" si="353"/>
        <v>0.93000000000029104</v>
      </c>
      <c r="AM424" s="166"/>
      <c r="AN424" s="167"/>
      <c r="AO424" s="167"/>
      <c r="AP424" s="167"/>
      <c r="AQ424" s="167"/>
      <c r="AR424" s="170"/>
      <c r="AS424" s="417">
        <f t="shared" si="333"/>
        <v>99.980832646331407</v>
      </c>
    </row>
    <row r="425" spans="1:45" ht="15" customHeight="1" thickBot="1">
      <c r="A425" s="425" t="s">
        <v>143</v>
      </c>
      <c r="B425" s="140"/>
      <c r="C425" s="140" t="s">
        <v>510</v>
      </c>
      <c r="D425" s="120">
        <v>286000</v>
      </c>
      <c r="E425" s="120">
        <v>286000</v>
      </c>
      <c r="F425" s="131">
        <v>29070.400000000001</v>
      </c>
      <c r="G425" s="131">
        <f>29250+38030+26270+35750+3160+153540</f>
        <v>286000</v>
      </c>
      <c r="H425" s="120"/>
      <c r="I425" s="320"/>
      <c r="J425" s="191"/>
      <c r="K425" s="191"/>
      <c r="L425" s="191"/>
      <c r="M425" s="191"/>
      <c r="O425" s="191"/>
      <c r="P425" s="191"/>
      <c r="Q425" s="191"/>
      <c r="R425" s="191">
        <v>5570.4</v>
      </c>
      <c r="S425" s="191"/>
      <c r="T425" s="191"/>
      <c r="U425" s="191"/>
      <c r="V425" s="191"/>
      <c r="W425" s="191"/>
      <c r="X425" s="191"/>
      <c r="Y425" s="191"/>
      <c r="Z425" s="191"/>
      <c r="AA425" s="191"/>
      <c r="AB425" s="191"/>
      <c r="AC425" s="191"/>
      <c r="AD425" s="191"/>
      <c r="AE425" s="191"/>
      <c r="AF425" s="191"/>
      <c r="AG425" s="316">
        <f t="shared" si="359"/>
        <v>5570.4</v>
      </c>
      <c r="AH425" s="315">
        <f t="shared" si="360"/>
        <v>34640.800000000003</v>
      </c>
      <c r="AI425" s="120"/>
      <c r="AJ425" s="120">
        <f t="shared" si="351"/>
        <v>286000</v>
      </c>
      <c r="AK425" s="113">
        <f t="shared" si="352"/>
        <v>0</v>
      </c>
      <c r="AL425" s="172">
        <f t="shared" si="353"/>
        <v>0</v>
      </c>
      <c r="AM425" s="166">
        <v>38371</v>
      </c>
      <c r="AN425" s="110"/>
      <c r="AO425" s="110"/>
      <c r="AP425" s="110"/>
      <c r="AQ425" s="110"/>
      <c r="AR425" s="170">
        <f t="shared" si="313"/>
        <v>38371</v>
      </c>
      <c r="AS425" s="417">
        <f t="shared" si="333"/>
        <v>100</v>
      </c>
    </row>
    <row r="426" spans="1:45" ht="15.6" customHeight="1" thickBot="1">
      <c r="A426" s="431" t="s">
        <v>801</v>
      </c>
      <c r="B426" s="140"/>
      <c r="C426" s="140" t="s">
        <v>821</v>
      </c>
      <c r="D426" s="120">
        <v>52000</v>
      </c>
      <c r="E426" s="120">
        <v>52000</v>
      </c>
      <c r="F426" s="131"/>
      <c r="G426" s="131">
        <f>15000+17000+20000</f>
        <v>52000</v>
      </c>
      <c r="H426" s="120"/>
      <c r="I426" s="320"/>
      <c r="J426" s="191"/>
      <c r="K426" s="191"/>
      <c r="L426" s="191"/>
      <c r="M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  <c r="AA426" s="191"/>
      <c r="AB426" s="191"/>
      <c r="AC426" s="191"/>
      <c r="AD426" s="191"/>
      <c r="AE426" s="191"/>
      <c r="AF426" s="191"/>
      <c r="AG426" s="316"/>
      <c r="AH426" s="315"/>
      <c r="AI426" s="120"/>
      <c r="AJ426" s="120">
        <f t="shared" si="351"/>
        <v>52000</v>
      </c>
      <c r="AK426" s="113">
        <f t="shared" si="352"/>
        <v>0</v>
      </c>
      <c r="AL426" s="172">
        <f t="shared" si="353"/>
        <v>0</v>
      </c>
      <c r="AM426" s="166"/>
      <c r="AN426" s="110"/>
      <c r="AO426" s="110"/>
      <c r="AP426" s="110"/>
      <c r="AQ426" s="110"/>
      <c r="AR426" s="170"/>
      <c r="AS426" s="417">
        <f t="shared" si="333"/>
        <v>100</v>
      </c>
    </row>
    <row r="427" spans="1:45" ht="15.95" customHeight="1" thickBot="1">
      <c r="A427" s="431" t="s">
        <v>813</v>
      </c>
      <c r="B427" s="140"/>
      <c r="C427" s="140" t="s">
        <v>822</v>
      </c>
      <c r="D427" s="120">
        <v>160000</v>
      </c>
      <c r="E427" s="120">
        <v>160000</v>
      </c>
      <c r="F427" s="131"/>
      <c r="G427" s="131">
        <f>4084+15059.58+17824.62+15793.85+16924.5+11477+18835.83+8582+16118+15126+20173.55</f>
        <v>159998.93</v>
      </c>
      <c r="H427" s="120"/>
      <c r="I427" s="320"/>
      <c r="J427" s="191"/>
      <c r="K427" s="191"/>
      <c r="L427" s="191"/>
      <c r="M427" s="191"/>
      <c r="O427" s="191"/>
      <c r="P427" s="191"/>
      <c r="Q427" s="191"/>
      <c r="R427" s="191"/>
      <c r="S427" s="191"/>
      <c r="T427" s="191"/>
      <c r="U427" s="191"/>
      <c r="V427" s="191"/>
      <c r="W427" s="191"/>
      <c r="X427" s="191"/>
      <c r="Y427" s="191"/>
      <c r="Z427" s="191"/>
      <c r="AA427" s="191"/>
      <c r="AB427" s="191"/>
      <c r="AC427" s="191"/>
      <c r="AD427" s="191"/>
      <c r="AE427" s="191"/>
      <c r="AF427" s="191"/>
      <c r="AG427" s="316"/>
      <c r="AH427" s="315"/>
      <c r="AI427" s="120"/>
      <c r="AJ427" s="120">
        <f t="shared" si="351"/>
        <v>159998.93</v>
      </c>
      <c r="AK427" s="113">
        <f t="shared" si="352"/>
        <v>1.0700000000069849</v>
      </c>
      <c r="AL427" s="172">
        <f t="shared" si="353"/>
        <v>1.0700000000069849</v>
      </c>
      <c r="AM427" s="166"/>
      <c r="AN427" s="110"/>
      <c r="AO427" s="110"/>
      <c r="AP427" s="110"/>
      <c r="AQ427" s="110"/>
      <c r="AR427" s="170"/>
      <c r="AS427" s="417">
        <f t="shared" si="333"/>
        <v>99.999331249999997</v>
      </c>
    </row>
    <row r="428" spans="1:45" ht="17.100000000000001" hidden="1" customHeight="1" thickBot="1">
      <c r="A428" s="431" t="s">
        <v>814</v>
      </c>
      <c r="B428" s="140"/>
      <c r="C428" s="140" t="s">
        <v>1012</v>
      </c>
      <c r="D428" s="120">
        <v>0</v>
      </c>
      <c r="E428" s="120">
        <v>0</v>
      </c>
      <c r="F428" s="131"/>
      <c r="G428" s="131"/>
      <c r="H428" s="120"/>
      <c r="I428" s="320"/>
      <c r="J428" s="191"/>
      <c r="K428" s="191"/>
      <c r="L428" s="191"/>
      <c r="M428" s="191"/>
      <c r="O428" s="191"/>
      <c r="P428" s="191"/>
      <c r="Q428" s="191"/>
      <c r="R428" s="191"/>
      <c r="S428" s="191"/>
      <c r="T428" s="191"/>
      <c r="U428" s="191"/>
      <c r="V428" s="191"/>
      <c r="W428" s="191"/>
      <c r="X428" s="191"/>
      <c r="Y428" s="191"/>
      <c r="Z428" s="191"/>
      <c r="AA428" s="191"/>
      <c r="AB428" s="191"/>
      <c r="AC428" s="191"/>
      <c r="AD428" s="191"/>
      <c r="AE428" s="191"/>
      <c r="AF428" s="191"/>
      <c r="AG428" s="316"/>
      <c r="AH428" s="315"/>
      <c r="AI428" s="120"/>
      <c r="AJ428" s="120">
        <f t="shared" ref="AJ428" si="367">G428</f>
        <v>0</v>
      </c>
      <c r="AK428" s="113">
        <f t="shared" ref="AK428" si="368">D428-AJ428</f>
        <v>0</v>
      </c>
      <c r="AL428" s="172">
        <f t="shared" ref="AL428" si="369">E428-G428</f>
        <v>0</v>
      </c>
      <c r="AM428" s="166"/>
      <c r="AN428" s="110"/>
      <c r="AO428" s="110"/>
      <c r="AP428" s="110"/>
      <c r="AQ428" s="110"/>
      <c r="AR428" s="170"/>
      <c r="AS428" s="417" t="e">
        <f t="shared" ref="AS428" si="370">G428/E428*100</f>
        <v>#DIV/0!</v>
      </c>
    </row>
    <row r="429" spans="1:45" ht="17.100000000000001" customHeight="1" thickBot="1">
      <c r="A429" s="431" t="s">
        <v>804</v>
      </c>
      <c r="B429" s="140"/>
      <c r="C429" s="140" t="s">
        <v>969</v>
      </c>
      <c r="D429" s="120">
        <v>68643</v>
      </c>
      <c r="E429" s="120">
        <v>68643</v>
      </c>
      <c r="F429" s="131"/>
      <c r="G429" s="131">
        <v>68643</v>
      </c>
      <c r="H429" s="120"/>
      <c r="I429" s="320"/>
      <c r="J429" s="191"/>
      <c r="K429" s="191"/>
      <c r="L429" s="191"/>
      <c r="M429" s="191"/>
      <c r="O429" s="191"/>
      <c r="P429" s="191"/>
      <c r="Q429" s="191"/>
      <c r="R429" s="191"/>
      <c r="S429" s="191"/>
      <c r="T429" s="191"/>
      <c r="U429" s="191"/>
      <c r="V429" s="191"/>
      <c r="W429" s="191"/>
      <c r="X429" s="191"/>
      <c r="Y429" s="191"/>
      <c r="Z429" s="191"/>
      <c r="AA429" s="191"/>
      <c r="AB429" s="191"/>
      <c r="AC429" s="191"/>
      <c r="AD429" s="191"/>
      <c r="AE429" s="191"/>
      <c r="AF429" s="191"/>
      <c r="AG429" s="316"/>
      <c r="AH429" s="315"/>
      <c r="AI429" s="120"/>
      <c r="AJ429" s="120">
        <f t="shared" si="351"/>
        <v>68643</v>
      </c>
      <c r="AK429" s="113">
        <f t="shared" si="352"/>
        <v>0</v>
      </c>
      <c r="AL429" s="172">
        <f t="shared" si="353"/>
        <v>0</v>
      </c>
      <c r="AM429" s="166"/>
      <c r="AN429" s="110"/>
      <c r="AO429" s="110"/>
      <c r="AP429" s="110"/>
      <c r="AQ429" s="110"/>
      <c r="AR429" s="170"/>
      <c r="AS429" s="417">
        <f t="shared" si="333"/>
        <v>100</v>
      </c>
    </row>
    <row r="430" spans="1:45" ht="18" customHeight="1" thickBot="1">
      <c r="A430" s="425" t="s">
        <v>319</v>
      </c>
      <c r="B430" s="140"/>
      <c r="C430" s="140" t="s">
        <v>745</v>
      </c>
      <c r="D430" s="120">
        <v>558070</v>
      </c>
      <c r="E430" s="120">
        <v>558070</v>
      </c>
      <c r="F430" s="131"/>
      <c r="G430" s="502">
        <f>12556+161697+182061+15400+14000+10847+19100+124323.83+18085</f>
        <v>558069.82999999996</v>
      </c>
      <c r="H430" s="120"/>
      <c r="I430" s="320"/>
      <c r="J430" s="191"/>
      <c r="K430" s="191"/>
      <c r="L430" s="191"/>
      <c r="M430" s="191"/>
      <c r="O430" s="191"/>
      <c r="P430" s="191"/>
      <c r="Q430" s="191"/>
      <c r="R430" s="191"/>
      <c r="S430" s="191"/>
      <c r="T430" s="191"/>
      <c r="U430" s="191"/>
      <c r="V430" s="191"/>
      <c r="W430" s="191"/>
      <c r="X430" s="191"/>
      <c r="Y430" s="191"/>
      <c r="Z430" s="191"/>
      <c r="AA430" s="191"/>
      <c r="AB430" s="191"/>
      <c r="AC430" s="191"/>
      <c r="AD430" s="191"/>
      <c r="AE430" s="191"/>
      <c r="AF430" s="191"/>
      <c r="AG430" s="316"/>
      <c r="AH430" s="315"/>
      <c r="AI430" s="120"/>
      <c r="AJ430" s="120">
        <f t="shared" si="351"/>
        <v>558069.82999999996</v>
      </c>
      <c r="AK430" s="113">
        <f t="shared" si="352"/>
        <v>0.17000000004190952</v>
      </c>
      <c r="AL430" s="172">
        <f t="shared" si="353"/>
        <v>0.17000000004190952</v>
      </c>
      <c r="AM430" s="166"/>
      <c r="AN430" s="110"/>
      <c r="AO430" s="110"/>
      <c r="AP430" s="110"/>
      <c r="AQ430" s="110"/>
      <c r="AR430" s="170"/>
      <c r="AS430" s="417">
        <f t="shared" si="333"/>
        <v>99.999969537871578</v>
      </c>
    </row>
    <row r="431" spans="1:45" ht="21.95" customHeight="1" thickBot="1">
      <c r="A431" s="425" t="s">
        <v>314</v>
      </c>
      <c r="B431" s="140"/>
      <c r="C431" s="140" t="s">
        <v>746</v>
      </c>
      <c r="D431" s="120">
        <v>10894</v>
      </c>
      <c r="E431" s="120">
        <v>10894</v>
      </c>
      <c r="F431" s="131"/>
      <c r="G431" s="131">
        <f>3800+4389+2705</f>
        <v>10894</v>
      </c>
      <c r="H431" s="120"/>
      <c r="I431" s="320"/>
      <c r="J431" s="191"/>
      <c r="K431" s="191"/>
      <c r="L431" s="191"/>
      <c r="M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  <c r="AA431" s="191"/>
      <c r="AB431" s="191"/>
      <c r="AC431" s="191"/>
      <c r="AD431" s="191"/>
      <c r="AE431" s="191"/>
      <c r="AF431" s="191"/>
      <c r="AG431" s="316"/>
      <c r="AH431" s="315"/>
      <c r="AI431" s="120"/>
      <c r="AJ431" s="120">
        <f t="shared" si="351"/>
        <v>10894</v>
      </c>
      <c r="AK431" s="113">
        <f t="shared" si="352"/>
        <v>0</v>
      </c>
      <c r="AL431" s="172">
        <f t="shared" si="353"/>
        <v>0</v>
      </c>
      <c r="AM431" s="166"/>
      <c r="AN431" s="110"/>
      <c r="AO431" s="110"/>
      <c r="AP431" s="110"/>
      <c r="AQ431" s="110"/>
      <c r="AR431" s="170"/>
      <c r="AS431" s="417">
        <f t="shared" si="333"/>
        <v>100</v>
      </c>
    </row>
    <row r="432" spans="1:45" ht="15.75" hidden="1" customHeight="1" thickBot="1">
      <c r="A432" s="425" t="s">
        <v>941</v>
      </c>
      <c r="B432" s="140"/>
      <c r="C432" s="140" t="s">
        <v>940</v>
      </c>
      <c r="D432" s="120">
        <v>0</v>
      </c>
      <c r="E432" s="120">
        <v>0</v>
      </c>
      <c r="F432" s="120"/>
      <c r="G432" s="120"/>
      <c r="H432" s="120"/>
      <c r="I432" s="320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  <c r="AA432" s="191"/>
      <c r="AB432" s="191"/>
      <c r="AC432" s="191"/>
      <c r="AD432" s="191"/>
      <c r="AE432" s="191"/>
      <c r="AF432" s="191"/>
      <c r="AG432" s="316"/>
      <c r="AH432" s="315"/>
      <c r="AI432" s="120"/>
      <c r="AJ432" s="120">
        <f t="shared" ref="AJ432" si="371">G432</f>
        <v>0</v>
      </c>
      <c r="AK432" s="113">
        <f t="shared" ref="AK432" si="372">D432-AJ432</f>
        <v>0</v>
      </c>
      <c r="AL432" s="172">
        <f t="shared" ref="AL432" si="373">E432-G432</f>
        <v>0</v>
      </c>
      <c r="AM432" s="133"/>
      <c r="AN432" s="110"/>
      <c r="AO432" s="110"/>
      <c r="AP432" s="110"/>
      <c r="AQ432" s="110"/>
      <c r="AR432" s="170"/>
      <c r="AS432" s="417" t="e">
        <f t="shared" si="333"/>
        <v>#DIV/0!</v>
      </c>
    </row>
    <row r="433" spans="1:45" ht="17.100000000000001" customHeight="1" thickBot="1">
      <c r="A433" s="425" t="s">
        <v>789</v>
      </c>
      <c r="B433" s="140"/>
      <c r="C433" s="140" t="s">
        <v>883</v>
      </c>
      <c r="D433" s="120">
        <v>882</v>
      </c>
      <c r="E433" s="120">
        <v>882</v>
      </c>
      <c r="F433" s="120"/>
      <c r="G433" s="120">
        <v>882</v>
      </c>
      <c r="H433" s="120"/>
      <c r="I433" s="320"/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1"/>
      <c r="AA433" s="191"/>
      <c r="AB433" s="191"/>
      <c r="AC433" s="191"/>
      <c r="AD433" s="191"/>
      <c r="AE433" s="191"/>
      <c r="AF433" s="191"/>
      <c r="AG433" s="316"/>
      <c r="AH433" s="315"/>
      <c r="AI433" s="120"/>
      <c r="AJ433" s="120">
        <f t="shared" si="351"/>
        <v>882</v>
      </c>
      <c r="AK433" s="113">
        <f t="shared" si="352"/>
        <v>0</v>
      </c>
      <c r="AL433" s="172">
        <f t="shared" si="353"/>
        <v>0</v>
      </c>
      <c r="AM433" s="133"/>
      <c r="AN433" s="110"/>
      <c r="AO433" s="110"/>
      <c r="AP433" s="110"/>
      <c r="AQ433" s="110"/>
      <c r="AR433" s="170"/>
      <c r="AS433" s="417">
        <f t="shared" ref="AS433" si="374">G433/E433*100</f>
        <v>100</v>
      </c>
    </row>
    <row r="434" spans="1:45" ht="15" hidden="1" customHeight="1" thickBot="1">
      <c r="A434" s="425" t="s">
        <v>789</v>
      </c>
      <c r="B434" s="140"/>
      <c r="C434" s="140" t="s">
        <v>819</v>
      </c>
      <c r="D434" s="120">
        <v>0</v>
      </c>
      <c r="E434" s="120">
        <v>0</v>
      </c>
      <c r="F434" s="120"/>
      <c r="G434" s="120"/>
      <c r="H434" s="120"/>
      <c r="I434" s="320"/>
      <c r="J434" s="191"/>
      <c r="K434" s="191"/>
      <c r="L434" s="191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1"/>
      <c r="Z434" s="191"/>
      <c r="AA434" s="191"/>
      <c r="AB434" s="191"/>
      <c r="AC434" s="191"/>
      <c r="AD434" s="191"/>
      <c r="AE434" s="191"/>
      <c r="AF434" s="191"/>
      <c r="AG434" s="316"/>
      <c r="AH434" s="315"/>
      <c r="AI434" s="120"/>
      <c r="AJ434" s="120">
        <f t="shared" ref="AJ434:AJ437" si="375">G434</f>
        <v>0</v>
      </c>
      <c r="AK434" s="113">
        <f t="shared" ref="AK434:AK435" si="376">D434-AJ434</f>
        <v>0</v>
      </c>
      <c r="AL434" s="172">
        <f t="shared" ref="AL434:AL435" si="377">E434-G434</f>
        <v>0</v>
      </c>
      <c r="AM434" s="133"/>
      <c r="AN434" s="110"/>
      <c r="AO434" s="110"/>
      <c r="AP434" s="110"/>
      <c r="AQ434" s="110"/>
      <c r="AR434" s="170"/>
      <c r="AS434" s="417" t="e">
        <f t="shared" si="333"/>
        <v>#DIV/0!</v>
      </c>
    </row>
    <row r="435" spans="1:45" ht="21" customHeight="1" thickBot="1">
      <c r="A435" s="425" t="s">
        <v>790</v>
      </c>
      <c r="B435" s="140"/>
      <c r="C435" s="140" t="s">
        <v>820</v>
      </c>
      <c r="D435" s="120">
        <v>1000</v>
      </c>
      <c r="E435" s="120">
        <v>1000</v>
      </c>
      <c r="F435" s="120"/>
      <c r="G435" s="120">
        <v>1000</v>
      </c>
      <c r="H435" s="120"/>
      <c r="I435" s="320"/>
      <c r="J435" s="191"/>
      <c r="K435" s="191"/>
      <c r="L435" s="191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1"/>
      <c r="Z435" s="191"/>
      <c r="AA435" s="191"/>
      <c r="AB435" s="191"/>
      <c r="AC435" s="191"/>
      <c r="AD435" s="191"/>
      <c r="AE435" s="191"/>
      <c r="AF435" s="191"/>
      <c r="AG435" s="316"/>
      <c r="AH435" s="315"/>
      <c r="AI435" s="120"/>
      <c r="AJ435" s="120">
        <f t="shared" si="375"/>
        <v>1000</v>
      </c>
      <c r="AK435" s="113">
        <f t="shared" si="376"/>
        <v>0</v>
      </c>
      <c r="AL435" s="172">
        <f t="shared" si="377"/>
        <v>0</v>
      </c>
      <c r="AM435" s="133"/>
      <c r="AN435" s="110"/>
      <c r="AO435" s="110"/>
      <c r="AP435" s="110"/>
      <c r="AQ435" s="110"/>
      <c r="AR435" s="170"/>
      <c r="AS435" s="417">
        <f t="shared" si="333"/>
        <v>100</v>
      </c>
    </row>
    <row r="436" spans="1:45" ht="21.6" customHeight="1" thickBot="1">
      <c r="A436" s="426" t="s">
        <v>797</v>
      </c>
      <c r="B436" s="140"/>
      <c r="C436" s="571" t="s">
        <v>846</v>
      </c>
      <c r="D436" s="120">
        <v>1000</v>
      </c>
      <c r="E436" s="120">
        <v>1000</v>
      </c>
      <c r="F436" s="120"/>
      <c r="G436" s="120">
        <f>283.31+28.33+23.28</f>
        <v>334.91999999999996</v>
      </c>
      <c r="H436" s="120"/>
      <c r="I436" s="320"/>
      <c r="J436" s="191"/>
      <c r="K436" s="191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  <c r="AA436" s="191"/>
      <c r="AB436" s="191"/>
      <c r="AC436" s="191"/>
      <c r="AD436" s="191"/>
      <c r="AE436" s="191"/>
      <c r="AF436" s="191"/>
      <c r="AG436" s="316"/>
      <c r="AH436" s="315"/>
      <c r="AI436" s="120"/>
      <c r="AJ436" s="120">
        <f t="shared" si="375"/>
        <v>334.91999999999996</v>
      </c>
      <c r="AK436" s="113">
        <f t="shared" ref="AK436:AK437" si="378">D436-AJ436</f>
        <v>665.08</v>
      </c>
      <c r="AL436" s="172">
        <f t="shared" ref="AL436:AL437" si="379">E436-G436</f>
        <v>665.08</v>
      </c>
      <c r="AM436" s="133"/>
      <c r="AN436" s="110"/>
      <c r="AO436" s="110"/>
      <c r="AP436" s="110"/>
      <c r="AQ436" s="110"/>
      <c r="AR436" s="170"/>
      <c r="AS436" s="417">
        <f t="shared" si="333"/>
        <v>33.491999999999997</v>
      </c>
    </row>
    <row r="437" spans="1:45" ht="17.100000000000001" hidden="1" customHeight="1" thickBot="1">
      <c r="A437" s="426" t="s">
        <v>919</v>
      </c>
      <c r="B437" s="140"/>
      <c r="C437" s="140" t="s">
        <v>914</v>
      </c>
      <c r="D437" s="120">
        <v>0</v>
      </c>
      <c r="E437" s="120">
        <v>0</v>
      </c>
      <c r="F437" s="120"/>
      <c r="G437" s="120"/>
      <c r="H437" s="120"/>
      <c r="I437" s="320"/>
      <c r="J437" s="191"/>
      <c r="K437" s="191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1"/>
      <c r="Z437" s="191"/>
      <c r="AA437" s="191"/>
      <c r="AB437" s="191"/>
      <c r="AC437" s="191"/>
      <c r="AD437" s="191"/>
      <c r="AE437" s="191"/>
      <c r="AF437" s="191"/>
      <c r="AG437" s="316"/>
      <c r="AH437" s="315"/>
      <c r="AI437" s="120"/>
      <c r="AJ437" s="120">
        <f t="shared" si="375"/>
        <v>0</v>
      </c>
      <c r="AK437" s="113">
        <f t="shared" si="378"/>
        <v>0</v>
      </c>
      <c r="AL437" s="172">
        <f t="shared" si="379"/>
        <v>0</v>
      </c>
      <c r="AM437" s="133"/>
      <c r="AN437" s="110"/>
      <c r="AO437" s="110"/>
      <c r="AP437" s="110"/>
      <c r="AQ437" s="110"/>
      <c r="AR437" s="170"/>
      <c r="AS437" s="417" t="e">
        <f t="shared" si="333"/>
        <v>#DIV/0!</v>
      </c>
    </row>
    <row r="438" spans="1:45" ht="15" customHeight="1" thickBot="1">
      <c r="A438" s="398" t="s">
        <v>761</v>
      </c>
      <c r="B438" s="142"/>
      <c r="C438" s="139" t="s">
        <v>511</v>
      </c>
      <c r="D438" s="110">
        <f>SUM(D440:D447)</f>
        <v>1004183</v>
      </c>
      <c r="E438" s="110">
        <f>SUM(E440:E447)</f>
        <v>1004183</v>
      </c>
      <c r="F438" s="110">
        <f t="shared" ref="F438:G438" si="380">SUM(F440:F446)</f>
        <v>756900</v>
      </c>
      <c r="G438" s="110">
        <f t="shared" si="380"/>
        <v>995770.80999999994</v>
      </c>
      <c r="H438" s="110"/>
      <c r="I438" s="321"/>
      <c r="J438" s="191"/>
      <c r="K438" s="191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  <c r="AA438" s="191"/>
      <c r="AB438" s="191"/>
      <c r="AC438" s="191"/>
      <c r="AD438" s="191"/>
      <c r="AE438" s="191"/>
      <c r="AF438" s="191"/>
      <c r="AG438" s="316">
        <f t="shared" si="359"/>
        <v>0</v>
      </c>
      <c r="AH438" s="315">
        <f t="shared" si="360"/>
        <v>756900</v>
      </c>
      <c r="AI438" s="120"/>
      <c r="AJ438" s="110">
        <f>G438</f>
        <v>995770.80999999994</v>
      </c>
      <c r="AK438" s="113">
        <f t="shared" si="352"/>
        <v>8412.1900000000605</v>
      </c>
      <c r="AL438" s="172">
        <f t="shared" ref="AL438" si="381">E438-AJ438</f>
        <v>8412.1900000000605</v>
      </c>
      <c r="AM438" s="133"/>
      <c r="AN438" s="110"/>
      <c r="AO438" s="110"/>
      <c r="AP438" s="110"/>
      <c r="AQ438" s="110"/>
      <c r="AR438" s="170">
        <f t="shared" ref="AR438:AR479" si="382">AM438+AN438+AO438+AP438+AQ438</f>
        <v>0</v>
      </c>
      <c r="AS438" s="417">
        <f t="shared" si="333"/>
        <v>99.162285161170814</v>
      </c>
    </row>
    <row r="439" spans="1:45" ht="12" customHeight="1" thickBot="1">
      <c r="A439" s="425"/>
      <c r="B439" s="140"/>
      <c r="C439" s="136" t="s">
        <v>778</v>
      </c>
      <c r="D439" s="111"/>
      <c r="E439" s="111"/>
      <c r="F439" s="111"/>
      <c r="G439" s="111"/>
      <c r="H439" s="111"/>
      <c r="I439" s="322"/>
      <c r="J439" s="191"/>
      <c r="K439" s="191"/>
      <c r="L439" s="191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1"/>
      <c r="Z439" s="191"/>
      <c r="AA439" s="191"/>
      <c r="AB439" s="191"/>
      <c r="AC439" s="191"/>
      <c r="AD439" s="191"/>
      <c r="AE439" s="191"/>
      <c r="AF439" s="191"/>
      <c r="AG439" s="316">
        <f t="shared" si="359"/>
        <v>0</v>
      </c>
      <c r="AH439" s="315">
        <f t="shared" si="360"/>
        <v>0</v>
      </c>
      <c r="AI439" s="120"/>
      <c r="AJ439" s="111"/>
      <c r="AK439" s="113"/>
      <c r="AL439" s="172"/>
      <c r="AM439" s="133"/>
      <c r="AN439" s="110"/>
      <c r="AO439" s="110"/>
      <c r="AP439" s="110"/>
      <c r="AQ439" s="110"/>
      <c r="AR439" s="170">
        <f t="shared" si="382"/>
        <v>0</v>
      </c>
      <c r="AS439" s="417" t="e">
        <f t="shared" si="333"/>
        <v>#DIV/0!</v>
      </c>
    </row>
    <row r="440" spans="1:45" ht="14.1" customHeight="1" thickBot="1">
      <c r="A440" s="425" t="s">
        <v>85</v>
      </c>
      <c r="B440" s="140"/>
      <c r="C440" s="140" t="s">
        <v>512</v>
      </c>
      <c r="D440" s="120">
        <v>695154</v>
      </c>
      <c r="E440" s="120">
        <v>695154</v>
      </c>
      <c r="F440" s="120">
        <v>514947.24</v>
      </c>
      <c r="G440" s="120">
        <f>48120.8+26466.44+80917.16+48120.8+50228.4+48120.8+90750.92+12685.81+49292.22+23014.3+83919.5+130981</f>
        <v>692618.14999999991</v>
      </c>
      <c r="H440" s="120"/>
      <c r="I440" s="320"/>
      <c r="J440" s="191"/>
      <c r="K440" s="191"/>
      <c r="L440" s="191"/>
      <c r="M440" s="191"/>
      <c r="N440" s="191">
        <v>2000</v>
      </c>
      <c r="O440" s="324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  <c r="AA440" s="191"/>
      <c r="AB440" s="191"/>
      <c r="AC440" s="191"/>
      <c r="AD440" s="191"/>
      <c r="AE440" s="191"/>
      <c r="AF440" s="191"/>
      <c r="AG440" s="316">
        <f t="shared" si="359"/>
        <v>2000</v>
      </c>
      <c r="AH440" s="315">
        <f t="shared" si="360"/>
        <v>516947.24</v>
      </c>
      <c r="AI440" s="120"/>
      <c r="AJ440" s="120">
        <f t="shared" ref="AJ440:AJ447" si="383">G440</f>
        <v>692618.14999999991</v>
      </c>
      <c r="AK440" s="113">
        <f t="shared" ref="AK440:AK448" si="384">D440-AJ440</f>
        <v>2535.8500000000931</v>
      </c>
      <c r="AL440" s="172">
        <f t="shared" ref="AL440:AL446" si="385">E440-AJ440</f>
        <v>2535.8500000000931</v>
      </c>
      <c r="AM440" s="166">
        <v>15977.8</v>
      </c>
      <c r="AN440" s="167">
        <v>1582</v>
      </c>
      <c r="AO440" s="167">
        <v>1710</v>
      </c>
      <c r="AP440" s="110"/>
      <c r="AQ440" s="110"/>
      <c r="AR440" s="170">
        <f t="shared" si="382"/>
        <v>19269.8</v>
      </c>
      <c r="AS440" s="417">
        <f t="shared" si="333"/>
        <v>99.635210327495756</v>
      </c>
    </row>
    <row r="441" spans="1:45" ht="0.75" hidden="1" customHeight="1" thickBot="1">
      <c r="A441" s="425" t="s">
        <v>743</v>
      </c>
      <c r="B441" s="140"/>
      <c r="C441" s="140" t="s">
        <v>913</v>
      </c>
      <c r="D441" s="120">
        <v>0</v>
      </c>
      <c r="E441" s="120">
        <v>0</v>
      </c>
      <c r="F441" s="120">
        <v>6512.76</v>
      </c>
      <c r="G441" s="120"/>
      <c r="H441" s="120"/>
      <c r="I441" s="320"/>
      <c r="J441" s="191"/>
      <c r="K441" s="191"/>
      <c r="L441" s="191"/>
      <c r="M441" s="191"/>
      <c r="N441" s="191"/>
      <c r="O441" s="564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  <c r="AA441" s="191"/>
      <c r="AB441" s="191"/>
      <c r="AC441" s="191"/>
      <c r="AD441" s="191"/>
      <c r="AE441" s="191"/>
      <c r="AF441" s="191"/>
      <c r="AG441" s="316"/>
      <c r="AH441" s="315"/>
      <c r="AI441" s="120"/>
      <c r="AJ441" s="120">
        <f>G441</f>
        <v>0</v>
      </c>
      <c r="AK441" s="113">
        <f t="shared" si="384"/>
        <v>0</v>
      </c>
      <c r="AL441" s="172">
        <f t="shared" si="385"/>
        <v>0</v>
      </c>
      <c r="AM441" s="166"/>
      <c r="AN441" s="167"/>
      <c r="AO441" s="167"/>
      <c r="AP441" s="110"/>
      <c r="AQ441" s="110"/>
      <c r="AR441" s="170"/>
    </row>
    <row r="442" spans="1:45" ht="15" customHeight="1" thickBot="1">
      <c r="A442" s="425" t="s">
        <v>135</v>
      </c>
      <c r="B442" s="140"/>
      <c r="C442" s="140" t="s">
        <v>570</v>
      </c>
      <c r="D442" s="120">
        <v>215047</v>
      </c>
      <c r="E442" s="120">
        <v>215047</v>
      </c>
      <c r="F442" s="120">
        <v>155440</v>
      </c>
      <c r="G442" s="131">
        <f>14532.48+32429.84+14532.48+15168.98+14532.48+31237.9+14787.66+98.58+32294+39556.26</f>
        <v>209170.66</v>
      </c>
      <c r="H442" s="120"/>
      <c r="I442" s="320"/>
      <c r="J442" s="191"/>
      <c r="K442" s="191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  <c r="AA442" s="191"/>
      <c r="AB442" s="191"/>
      <c r="AC442" s="191"/>
      <c r="AD442" s="191"/>
      <c r="AE442" s="191"/>
      <c r="AF442" s="191"/>
      <c r="AG442" s="316">
        <f t="shared" si="359"/>
        <v>0</v>
      </c>
      <c r="AH442" s="315">
        <f t="shared" si="360"/>
        <v>155440</v>
      </c>
      <c r="AI442" s="120"/>
      <c r="AJ442" s="120">
        <f t="shared" si="383"/>
        <v>209170.66</v>
      </c>
      <c r="AK442" s="113">
        <f t="shared" si="384"/>
        <v>5876.3399999999965</v>
      </c>
      <c r="AL442" s="172">
        <f t="shared" si="385"/>
        <v>5876.3399999999965</v>
      </c>
      <c r="AM442" s="166">
        <v>8749.9</v>
      </c>
      <c r="AN442" s="110"/>
      <c r="AO442" s="167">
        <v>35</v>
      </c>
      <c r="AP442" s="167">
        <v>86.32</v>
      </c>
      <c r="AQ442" s="110"/>
      <c r="AR442" s="170">
        <f t="shared" si="382"/>
        <v>8871.2199999999993</v>
      </c>
      <c r="AS442" s="417">
        <f t="shared" si="333"/>
        <v>97.267415960231958</v>
      </c>
    </row>
    <row r="443" spans="1:45" ht="14.25" customHeight="1" thickBot="1">
      <c r="A443" s="425" t="s">
        <v>147</v>
      </c>
      <c r="B443" s="140"/>
      <c r="C443" s="140" t="s">
        <v>513</v>
      </c>
      <c r="D443" s="120">
        <v>37000</v>
      </c>
      <c r="E443" s="120">
        <v>37000</v>
      </c>
      <c r="F443" s="120">
        <v>31789.06</v>
      </c>
      <c r="G443" s="120">
        <f>1000+814+1000+32186+2000</f>
        <v>37000</v>
      </c>
      <c r="H443" s="120"/>
      <c r="I443" s="320"/>
      <c r="J443" s="191"/>
      <c r="K443" s="191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  <c r="AA443" s="191"/>
      <c r="AB443" s="191"/>
      <c r="AC443" s="191"/>
      <c r="AD443" s="191"/>
      <c r="AE443" s="191"/>
      <c r="AF443" s="191"/>
      <c r="AG443" s="316">
        <f t="shared" si="359"/>
        <v>0</v>
      </c>
      <c r="AH443" s="315">
        <f t="shared" si="360"/>
        <v>31789.06</v>
      </c>
      <c r="AI443" s="120"/>
      <c r="AJ443" s="120">
        <f t="shared" si="383"/>
        <v>37000</v>
      </c>
      <c r="AK443" s="113">
        <f t="shared" si="384"/>
        <v>0</v>
      </c>
      <c r="AL443" s="172">
        <f t="shared" si="385"/>
        <v>0</v>
      </c>
      <c r="AM443" s="133"/>
      <c r="AN443" s="110"/>
      <c r="AO443" s="110"/>
      <c r="AP443" s="110"/>
      <c r="AQ443" s="110"/>
      <c r="AR443" s="170">
        <f t="shared" si="382"/>
        <v>0</v>
      </c>
      <c r="AS443" s="417">
        <f t="shared" si="333"/>
        <v>100</v>
      </c>
    </row>
    <row r="444" spans="1:45" ht="14.25" customHeight="1" thickBot="1">
      <c r="A444" s="425" t="s">
        <v>143</v>
      </c>
      <c r="B444" s="140"/>
      <c r="C444" s="140" t="s">
        <v>514</v>
      </c>
      <c r="D444" s="120">
        <v>39982</v>
      </c>
      <c r="E444" s="120">
        <v>39982</v>
      </c>
      <c r="F444" s="120">
        <v>38736</v>
      </c>
      <c r="G444" s="131">
        <v>39982</v>
      </c>
      <c r="H444" s="120"/>
      <c r="I444" s="320"/>
      <c r="J444" s="191"/>
      <c r="K444" s="191"/>
      <c r="L444" s="191"/>
      <c r="M444" s="191"/>
      <c r="N444" s="191">
        <v>10320</v>
      </c>
      <c r="O444" s="191">
        <v>2007</v>
      </c>
      <c r="P444" s="191"/>
      <c r="Q444" s="191">
        <v>4683</v>
      </c>
      <c r="R444" s="191">
        <v>31600</v>
      </c>
      <c r="S444" s="191"/>
      <c r="T444" s="191"/>
      <c r="U444" s="191"/>
      <c r="V444" s="191"/>
      <c r="W444" s="191"/>
      <c r="X444" s="191"/>
      <c r="Y444" s="191"/>
      <c r="Z444" s="191"/>
      <c r="AA444" s="191"/>
      <c r="AB444" s="191"/>
      <c r="AC444" s="191"/>
      <c r="AD444" s="191"/>
      <c r="AE444" s="191"/>
      <c r="AF444" s="191"/>
      <c r="AG444" s="316">
        <f t="shared" si="359"/>
        <v>48610</v>
      </c>
      <c r="AH444" s="315">
        <f t="shared" si="360"/>
        <v>87346</v>
      </c>
      <c r="AI444" s="120"/>
      <c r="AJ444" s="120">
        <f t="shared" si="383"/>
        <v>39982</v>
      </c>
      <c r="AK444" s="113">
        <f t="shared" si="384"/>
        <v>0</v>
      </c>
      <c r="AL444" s="172">
        <f t="shared" si="385"/>
        <v>0</v>
      </c>
      <c r="AM444" s="133"/>
      <c r="AN444" s="110"/>
      <c r="AO444" s="110"/>
      <c r="AP444" s="110"/>
      <c r="AQ444" s="110"/>
      <c r="AR444" s="170">
        <f t="shared" si="382"/>
        <v>0</v>
      </c>
      <c r="AS444" s="417">
        <f t="shared" si="333"/>
        <v>100</v>
      </c>
    </row>
    <row r="445" spans="1:45" ht="15" customHeight="1" thickBot="1">
      <c r="A445" s="431" t="s">
        <v>801</v>
      </c>
      <c r="B445" s="140"/>
      <c r="C445" s="140" t="s">
        <v>860</v>
      </c>
      <c r="D445" s="120">
        <v>3000</v>
      </c>
      <c r="E445" s="120">
        <v>3000</v>
      </c>
      <c r="F445" s="120">
        <v>2004.94</v>
      </c>
      <c r="G445" s="131">
        <v>3000</v>
      </c>
      <c r="H445" s="120"/>
      <c r="I445" s="320"/>
      <c r="J445" s="191"/>
      <c r="K445" s="191"/>
      <c r="L445" s="191"/>
      <c r="M445" s="191"/>
      <c r="N445" s="191"/>
      <c r="O445" s="191"/>
      <c r="P445" s="191"/>
      <c r="Q445" s="191"/>
      <c r="R445" s="191"/>
      <c r="S445" s="191"/>
      <c r="T445" s="191"/>
      <c r="U445" s="191"/>
      <c r="V445" s="191"/>
      <c r="W445" s="191"/>
      <c r="X445" s="191"/>
      <c r="Y445" s="191"/>
      <c r="Z445" s="191"/>
      <c r="AA445" s="191"/>
      <c r="AB445" s="191"/>
      <c r="AC445" s="191"/>
      <c r="AD445" s="191"/>
      <c r="AE445" s="191"/>
      <c r="AF445" s="191"/>
      <c r="AG445" s="316"/>
      <c r="AH445" s="315"/>
      <c r="AI445" s="120"/>
      <c r="AJ445" s="120">
        <f t="shared" si="383"/>
        <v>3000</v>
      </c>
      <c r="AK445" s="113">
        <f t="shared" si="384"/>
        <v>0</v>
      </c>
      <c r="AL445" s="172">
        <f t="shared" si="385"/>
        <v>0</v>
      </c>
      <c r="AM445" s="133"/>
      <c r="AN445" s="110"/>
      <c r="AO445" s="110"/>
      <c r="AP445" s="110"/>
      <c r="AQ445" s="110"/>
      <c r="AR445" s="170"/>
      <c r="AS445" s="417">
        <f t="shared" si="333"/>
        <v>100</v>
      </c>
    </row>
    <row r="446" spans="1:45" ht="21.75" customHeight="1" thickBot="1">
      <c r="A446" s="425" t="s">
        <v>314</v>
      </c>
      <c r="B446" s="140"/>
      <c r="C446" s="140" t="s">
        <v>852</v>
      </c>
      <c r="D446" s="120">
        <v>14000</v>
      </c>
      <c r="E446" s="120">
        <v>14000</v>
      </c>
      <c r="F446" s="120">
        <v>7470</v>
      </c>
      <c r="G446" s="131">
        <v>14000</v>
      </c>
      <c r="H446" s="120"/>
      <c r="I446" s="320"/>
      <c r="J446" s="191"/>
      <c r="K446" s="191"/>
      <c r="L446" s="191"/>
      <c r="M446" s="191"/>
      <c r="N446" s="191"/>
      <c r="O446" s="191"/>
      <c r="P446" s="191"/>
      <c r="Q446" s="191"/>
      <c r="R446" s="191"/>
      <c r="S446" s="191"/>
      <c r="T446" s="191"/>
      <c r="U446" s="191"/>
      <c r="V446" s="191"/>
      <c r="W446" s="191"/>
      <c r="X446" s="191"/>
      <c r="Y446" s="191"/>
      <c r="Z446" s="191"/>
      <c r="AA446" s="191"/>
      <c r="AB446" s="191"/>
      <c r="AC446" s="191"/>
      <c r="AD446" s="191"/>
      <c r="AE446" s="191"/>
      <c r="AF446" s="191"/>
      <c r="AG446" s="316"/>
      <c r="AH446" s="315"/>
      <c r="AI446" s="120"/>
      <c r="AJ446" s="120">
        <f t="shared" si="383"/>
        <v>14000</v>
      </c>
      <c r="AK446" s="113">
        <f t="shared" si="384"/>
        <v>0</v>
      </c>
      <c r="AL446" s="172">
        <f t="shared" si="385"/>
        <v>0</v>
      </c>
      <c r="AM446" s="133"/>
      <c r="AN446" s="110"/>
      <c r="AO446" s="110"/>
      <c r="AP446" s="110"/>
      <c r="AQ446" s="110"/>
      <c r="AR446" s="170"/>
      <c r="AS446" s="417">
        <f t="shared" si="333"/>
        <v>100</v>
      </c>
    </row>
    <row r="447" spans="1:45" ht="6.6" hidden="1" customHeight="1" thickBot="1">
      <c r="A447" s="425" t="s">
        <v>314</v>
      </c>
      <c r="B447" s="140"/>
      <c r="C447" s="140" t="s">
        <v>885</v>
      </c>
      <c r="D447" s="120">
        <v>0</v>
      </c>
      <c r="E447" s="120">
        <v>0</v>
      </c>
      <c r="F447" s="131"/>
      <c r="G447" s="131"/>
      <c r="H447" s="120"/>
      <c r="I447" s="320"/>
      <c r="J447" s="191"/>
      <c r="K447" s="191"/>
      <c r="L447" s="191"/>
      <c r="M447" s="191"/>
      <c r="O447" s="191"/>
      <c r="P447" s="191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  <c r="AA447" s="191"/>
      <c r="AB447" s="191"/>
      <c r="AC447" s="191"/>
      <c r="AD447" s="191"/>
      <c r="AE447" s="191"/>
      <c r="AF447" s="191"/>
      <c r="AG447" s="316"/>
      <c r="AH447" s="315"/>
      <c r="AI447" s="120"/>
      <c r="AJ447" s="120">
        <f t="shared" si="383"/>
        <v>0</v>
      </c>
      <c r="AK447" s="113">
        <f t="shared" si="384"/>
        <v>0</v>
      </c>
      <c r="AL447" s="172">
        <f t="shared" ref="AL447" si="386">E447-G447</f>
        <v>0</v>
      </c>
      <c r="AM447" s="166"/>
      <c r="AN447" s="110"/>
      <c r="AO447" s="110"/>
      <c r="AP447" s="110"/>
      <c r="AQ447" s="110"/>
      <c r="AR447" s="170"/>
      <c r="AS447" s="417" t="e">
        <f t="shared" ref="AS447" si="387">G447/E447*100</f>
        <v>#DIV/0!</v>
      </c>
    </row>
    <row r="448" spans="1:45" ht="33.6" hidden="1" customHeight="1" thickBot="1">
      <c r="A448" s="398" t="s">
        <v>1011</v>
      </c>
      <c r="B448" s="142"/>
      <c r="C448" s="139" t="s">
        <v>997</v>
      </c>
      <c r="D448" s="121">
        <f>D449+D450</f>
        <v>0</v>
      </c>
      <c r="E448" s="121">
        <f>E449+E450</f>
        <v>0</v>
      </c>
      <c r="F448" s="121">
        <f t="shared" ref="F448:G448" si="388">F449+F450</f>
        <v>9799</v>
      </c>
      <c r="G448" s="121">
        <f t="shared" si="388"/>
        <v>0</v>
      </c>
      <c r="H448" s="121"/>
      <c r="I448" s="323"/>
      <c r="J448" s="191"/>
      <c r="K448" s="191"/>
      <c r="L448" s="191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  <c r="AA448" s="191"/>
      <c r="AB448" s="191"/>
      <c r="AC448" s="191"/>
      <c r="AD448" s="191"/>
      <c r="AE448" s="191"/>
      <c r="AF448" s="191"/>
      <c r="AG448" s="316">
        <f t="shared" ref="AG448:AG449" si="389">SUM(I448:AF448)</f>
        <v>0</v>
      </c>
      <c r="AH448" s="315">
        <f t="shared" ref="AH448:AH449" si="390">F448+AG448</f>
        <v>9799</v>
      </c>
      <c r="AI448" s="120"/>
      <c r="AJ448" s="121">
        <f t="shared" ref="AJ448:AJ449" si="391">G448</f>
        <v>0</v>
      </c>
      <c r="AK448" s="113">
        <f t="shared" si="384"/>
        <v>0</v>
      </c>
      <c r="AL448" s="172">
        <f t="shared" ref="AL448:AL449" si="392">E448-AJ448</f>
        <v>0</v>
      </c>
      <c r="AM448" s="133"/>
      <c r="AN448" s="110"/>
      <c r="AO448" s="110"/>
      <c r="AP448" s="110"/>
      <c r="AQ448" s="110"/>
      <c r="AR448" s="170"/>
      <c r="AS448" s="417" t="e">
        <f t="shared" si="333"/>
        <v>#DIV/0!</v>
      </c>
    </row>
    <row r="449" spans="1:45" ht="18" hidden="1" customHeight="1" thickBot="1">
      <c r="A449" s="425" t="s">
        <v>143</v>
      </c>
      <c r="B449" s="140"/>
      <c r="C449" s="140" t="s">
        <v>998</v>
      </c>
      <c r="D449" s="120">
        <v>0</v>
      </c>
      <c r="E449" s="120">
        <v>0</v>
      </c>
      <c r="F449" s="147">
        <v>9799</v>
      </c>
      <c r="G449" s="120"/>
      <c r="H449" s="120"/>
      <c r="I449" s="131">
        <v>2442</v>
      </c>
      <c r="J449" s="320"/>
      <c r="K449" s="191"/>
      <c r="L449" s="191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  <c r="AA449" s="191"/>
      <c r="AB449" s="191"/>
      <c r="AC449" s="191"/>
      <c r="AD449" s="191"/>
      <c r="AE449" s="191"/>
      <c r="AF449" s="191"/>
      <c r="AG449" s="316">
        <f t="shared" si="389"/>
        <v>2442</v>
      </c>
      <c r="AH449" s="315">
        <f t="shared" si="390"/>
        <v>12241</v>
      </c>
      <c r="AI449" s="120"/>
      <c r="AJ449" s="120">
        <f t="shared" si="391"/>
        <v>0</v>
      </c>
      <c r="AK449" s="113">
        <f t="shared" ref="AK449:AK452" si="393">D449-AJ449</f>
        <v>0</v>
      </c>
      <c r="AL449" s="172">
        <f t="shared" si="392"/>
        <v>0</v>
      </c>
      <c r="AM449" s="133"/>
      <c r="AN449" s="110"/>
      <c r="AO449" s="110"/>
      <c r="AP449" s="110"/>
      <c r="AQ449" s="110"/>
      <c r="AR449" s="170"/>
      <c r="AS449" s="417" t="e">
        <f t="shared" si="333"/>
        <v>#DIV/0!</v>
      </c>
    </row>
    <row r="450" spans="1:45" ht="22.5" hidden="1" customHeight="1" thickBot="1">
      <c r="A450" s="425" t="s">
        <v>996</v>
      </c>
      <c r="B450" s="140"/>
      <c r="C450" s="140" t="s">
        <v>999</v>
      </c>
      <c r="D450" s="120">
        <v>0</v>
      </c>
      <c r="E450" s="120">
        <v>0</v>
      </c>
      <c r="F450" s="147"/>
      <c r="G450" s="120"/>
      <c r="H450" s="120"/>
      <c r="I450" s="320"/>
      <c r="J450" s="320"/>
      <c r="K450" s="191"/>
      <c r="L450" s="191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  <c r="AA450" s="191"/>
      <c r="AB450" s="191"/>
      <c r="AC450" s="191"/>
      <c r="AD450" s="191"/>
      <c r="AE450" s="191"/>
      <c r="AF450" s="191"/>
      <c r="AG450" s="316"/>
      <c r="AH450" s="315"/>
      <c r="AI450" s="120"/>
      <c r="AJ450" s="120"/>
      <c r="AK450" s="113"/>
      <c r="AL450" s="172"/>
      <c r="AM450" s="133"/>
      <c r="AN450" s="110"/>
      <c r="AO450" s="110"/>
      <c r="AP450" s="110"/>
      <c r="AQ450" s="110"/>
      <c r="AR450" s="170"/>
    </row>
    <row r="451" spans="1:45" ht="18.75" hidden="1" customHeight="1" thickBot="1">
      <c r="A451" s="398" t="s">
        <v>922</v>
      </c>
      <c r="B451" s="142"/>
      <c r="C451" s="139" t="s">
        <v>955</v>
      </c>
      <c r="D451" s="121">
        <f>D453+D452</f>
        <v>0</v>
      </c>
      <c r="E451" s="121">
        <f>E453+E452</f>
        <v>0</v>
      </c>
      <c r="F451" s="121">
        <f t="shared" ref="F451:G451" si="394">F453+F452</f>
        <v>334663</v>
      </c>
      <c r="G451" s="121">
        <f t="shared" si="394"/>
        <v>0</v>
      </c>
      <c r="H451" s="121"/>
      <c r="I451" s="323"/>
      <c r="J451" s="191"/>
      <c r="K451" s="191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  <c r="AA451" s="191"/>
      <c r="AB451" s="191"/>
      <c r="AC451" s="191"/>
      <c r="AD451" s="191"/>
      <c r="AE451" s="191"/>
      <c r="AF451" s="191"/>
      <c r="AG451" s="316">
        <f t="shared" ref="AG451:AG453" si="395">SUM(I451:AF451)</f>
        <v>0</v>
      </c>
      <c r="AH451" s="315">
        <f t="shared" ref="AH451:AH453" si="396">F451+AG451</f>
        <v>334663</v>
      </c>
      <c r="AI451" s="120"/>
      <c r="AJ451" s="121">
        <f t="shared" ref="AJ451:AJ453" si="397">G451</f>
        <v>0</v>
      </c>
      <c r="AK451" s="113">
        <f t="shared" si="393"/>
        <v>0</v>
      </c>
      <c r="AL451" s="172">
        <f t="shared" ref="AL451:AL453" si="398">E451-AJ451</f>
        <v>0</v>
      </c>
      <c r="AM451" s="133"/>
      <c r="AN451" s="110"/>
      <c r="AO451" s="110"/>
      <c r="AP451" s="110"/>
      <c r="AQ451" s="110"/>
      <c r="AR451" s="170"/>
      <c r="AS451" s="417" t="e">
        <f t="shared" ref="AS451:AS453" si="399">G451/E451*100</f>
        <v>#DIV/0!</v>
      </c>
    </row>
    <row r="452" spans="1:45" ht="18" hidden="1" customHeight="1" thickBot="1">
      <c r="A452" s="425" t="s">
        <v>85</v>
      </c>
      <c r="B452" s="140"/>
      <c r="C452" s="140" t="s">
        <v>956</v>
      </c>
      <c r="D452" s="120">
        <v>0</v>
      </c>
      <c r="E452" s="120">
        <v>0</v>
      </c>
      <c r="F452" s="120">
        <v>257037.63</v>
      </c>
      <c r="G452" s="120">
        <v>0</v>
      </c>
      <c r="H452" s="120"/>
      <c r="I452" s="131">
        <v>2442</v>
      </c>
      <c r="J452" s="320"/>
      <c r="K452" s="191"/>
      <c r="L452" s="191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  <c r="AA452" s="191"/>
      <c r="AB452" s="191"/>
      <c r="AC452" s="191"/>
      <c r="AD452" s="191"/>
      <c r="AE452" s="191"/>
      <c r="AF452" s="191"/>
      <c r="AG452" s="316">
        <f t="shared" ref="AG452" si="400">SUM(I452:AF452)</f>
        <v>2442</v>
      </c>
      <c r="AH452" s="315">
        <f t="shared" ref="AH452" si="401">F452+AG452</f>
        <v>259479.63</v>
      </c>
      <c r="AI452" s="120"/>
      <c r="AJ452" s="120">
        <f t="shared" ref="AJ452" si="402">G452</f>
        <v>0</v>
      </c>
      <c r="AK452" s="113">
        <f t="shared" si="393"/>
        <v>0</v>
      </c>
      <c r="AL452" s="172">
        <f t="shared" ref="AL452" si="403">E452-AJ452</f>
        <v>0</v>
      </c>
      <c r="AM452" s="133"/>
      <c r="AN452" s="110"/>
      <c r="AO452" s="110"/>
      <c r="AP452" s="110"/>
      <c r="AQ452" s="110"/>
      <c r="AR452" s="170"/>
      <c r="AS452" s="417" t="e">
        <f t="shared" ref="AS452" si="404">G452/E452*100</f>
        <v>#DIV/0!</v>
      </c>
    </row>
    <row r="453" spans="1:45" ht="18" hidden="1" customHeight="1" thickBot="1">
      <c r="A453" s="425" t="s">
        <v>958</v>
      </c>
      <c r="B453" s="140"/>
      <c r="C453" s="140" t="s">
        <v>957</v>
      </c>
      <c r="D453" s="120">
        <v>0</v>
      </c>
      <c r="E453" s="120">
        <v>0</v>
      </c>
      <c r="F453" s="120">
        <v>77625.37</v>
      </c>
      <c r="G453" s="120">
        <v>0</v>
      </c>
      <c r="H453" s="120"/>
      <c r="I453" s="131">
        <v>2442</v>
      </c>
      <c r="J453" s="320"/>
      <c r="K453" s="191"/>
      <c r="L453" s="191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91"/>
      <c r="Z453" s="191"/>
      <c r="AA453" s="191"/>
      <c r="AB453" s="191"/>
      <c r="AC453" s="191"/>
      <c r="AD453" s="191"/>
      <c r="AE453" s="191"/>
      <c r="AF453" s="191"/>
      <c r="AG453" s="316">
        <f t="shared" si="395"/>
        <v>2442</v>
      </c>
      <c r="AH453" s="315">
        <f t="shared" si="396"/>
        <v>80067.37</v>
      </c>
      <c r="AI453" s="120"/>
      <c r="AJ453" s="120">
        <f t="shared" si="397"/>
        <v>0</v>
      </c>
      <c r="AK453" s="113">
        <f t="shared" ref="AK453" si="405">D453-AJ453</f>
        <v>0</v>
      </c>
      <c r="AL453" s="172">
        <f t="shared" si="398"/>
        <v>0</v>
      </c>
      <c r="AM453" s="133"/>
      <c r="AN453" s="110"/>
      <c r="AO453" s="110"/>
      <c r="AP453" s="110"/>
      <c r="AQ453" s="110"/>
      <c r="AR453" s="170"/>
      <c r="AS453" s="417" t="e">
        <f t="shared" si="399"/>
        <v>#DIV/0!</v>
      </c>
    </row>
    <row r="454" spans="1:45" ht="17.100000000000001" hidden="1" customHeight="1" thickBot="1">
      <c r="A454" s="446" t="s">
        <v>325</v>
      </c>
      <c r="B454" s="447"/>
      <c r="C454" s="456" t="s">
        <v>336</v>
      </c>
      <c r="D454" s="457">
        <f>D457</f>
        <v>0</v>
      </c>
      <c r="E454" s="457">
        <f>E457</f>
        <v>0</v>
      </c>
      <c r="F454" s="457"/>
      <c r="G454" s="457">
        <f>G457</f>
        <v>0</v>
      </c>
      <c r="H454" s="448"/>
      <c r="I454" s="449"/>
      <c r="J454" s="450"/>
      <c r="K454" s="450"/>
      <c r="L454" s="450"/>
      <c r="M454" s="450"/>
      <c r="N454" s="450"/>
      <c r="O454" s="450"/>
      <c r="P454" s="450"/>
      <c r="Q454" s="450"/>
      <c r="R454" s="450"/>
      <c r="S454" s="450"/>
      <c r="T454" s="450"/>
      <c r="U454" s="450"/>
      <c r="V454" s="450"/>
      <c r="W454" s="450"/>
      <c r="X454" s="450"/>
      <c r="Y454" s="450"/>
      <c r="Z454" s="450"/>
      <c r="AA454" s="450"/>
      <c r="AB454" s="450"/>
      <c r="AC454" s="450"/>
      <c r="AD454" s="450"/>
      <c r="AE454" s="450"/>
      <c r="AF454" s="450"/>
      <c r="AG454" s="451"/>
      <c r="AH454" s="452"/>
      <c r="AI454" s="448"/>
      <c r="AJ454" s="458">
        <f>G454</f>
        <v>0</v>
      </c>
      <c r="AK454" s="453">
        <f>D454-G454</f>
        <v>0</v>
      </c>
      <c r="AL454" s="454">
        <f>D454-G454</f>
        <v>0</v>
      </c>
      <c r="AM454" s="166"/>
      <c r="AN454" s="110"/>
      <c r="AO454" s="167"/>
      <c r="AP454" s="167"/>
      <c r="AQ454" s="110"/>
      <c r="AR454" s="170"/>
      <c r="AS454" s="417" t="e">
        <f t="shared" si="333"/>
        <v>#DIV/0!</v>
      </c>
    </row>
    <row r="455" spans="1:45" ht="15" hidden="1" customHeight="1" thickBot="1">
      <c r="A455" s="455" t="s">
        <v>329</v>
      </c>
      <c r="B455" s="447"/>
      <c r="C455" s="447" t="s">
        <v>330</v>
      </c>
      <c r="D455" s="448">
        <f>D457</f>
        <v>0</v>
      </c>
      <c r="E455" s="448">
        <f>E457</f>
        <v>0</v>
      </c>
      <c r="F455" s="448"/>
      <c r="G455" s="448">
        <f>G457</f>
        <v>0</v>
      </c>
      <c r="H455" s="448"/>
      <c r="I455" s="449"/>
      <c r="J455" s="450"/>
      <c r="K455" s="450"/>
      <c r="L455" s="450"/>
      <c r="M455" s="450"/>
      <c r="N455" s="450"/>
      <c r="O455" s="450"/>
      <c r="P455" s="450"/>
      <c r="Q455" s="450"/>
      <c r="R455" s="450"/>
      <c r="S455" s="450"/>
      <c r="T455" s="450"/>
      <c r="U455" s="450"/>
      <c r="V455" s="450"/>
      <c r="W455" s="450"/>
      <c r="X455" s="450"/>
      <c r="Y455" s="450"/>
      <c r="Z455" s="450"/>
      <c r="AA455" s="450"/>
      <c r="AB455" s="450"/>
      <c r="AC455" s="450"/>
      <c r="AD455" s="450"/>
      <c r="AE455" s="450"/>
      <c r="AF455" s="450"/>
      <c r="AG455" s="451"/>
      <c r="AH455" s="452"/>
      <c r="AI455" s="448"/>
      <c r="AJ455" s="448">
        <f>G455</f>
        <v>0</v>
      </c>
      <c r="AK455" s="453">
        <f>D455-G455</f>
        <v>0</v>
      </c>
      <c r="AL455" s="454">
        <f>D455-G455</f>
        <v>0</v>
      </c>
      <c r="AM455" s="166"/>
      <c r="AN455" s="110"/>
      <c r="AO455" s="167"/>
      <c r="AP455" s="167"/>
      <c r="AQ455" s="110"/>
      <c r="AR455" s="170"/>
      <c r="AS455" s="417" t="e">
        <f t="shared" si="333"/>
        <v>#DIV/0!</v>
      </c>
    </row>
    <row r="456" spans="1:45" ht="15.6" hidden="1" customHeight="1" thickBot="1">
      <c r="A456" s="398" t="s">
        <v>328</v>
      </c>
      <c r="B456" s="140"/>
      <c r="C456" s="142" t="s">
        <v>326</v>
      </c>
      <c r="D456" s="113">
        <f>D457</f>
        <v>0</v>
      </c>
      <c r="E456" s="113">
        <f>E457</f>
        <v>0</v>
      </c>
      <c r="F456" s="181"/>
      <c r="G456" s="181">
        <f>G457</f>
        <v>0</v>
      </c>
      <c r="H456" s="120"/>
      <c r="I456" s="320"/>
      <c r="J456" s="191"/>
      <c r="K456" s="191"/>
      <c r="L456" s="191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  <c r="AB456" s="191"/>
      <c r="AC456" s="191"/>
      <c r="AD456" s="191"/>
      <c r="AE456" s="191"/>
      <c r="AF456" s="191"/>
      <c r="AG456" s="316"/>
      <c r="AH456" s="315"/>
      <c r="AI456" s="120"/>
      <c r="AJ456" s="120">
        <f>G456</f>
        <v>0</v>
      </c>
      <c r="AK456" s="113">
        <f>D456-G456</f>
        <v>0</v>
      </c>
      <c r="AL456" s="172">
        <f>E456-G456</f>
        <v>0</v>
      </c>
      <c r="AM456" s="166"/>
      <c r="AN456" s="110"/>
      <c r="AO456" s="167"/>
      <c r="AP456" s="167"/>
      <c r="AQ456" s="110"/>
      <c r="AR456" s="170"/>
      <c r="AS456" s="417" t="e">
        <f t="shared" si="333"/>
        <v>#DIV/0!</v>
      </c>
    </row>
    <row r="457" spans="1:45" ht="14.1" hidden="1" customHeight="1" thickBot="1">
      <c r="A457" s="425" t="s">
        <v>635</v>
      </c>
      <c r="B457" s="140"/>
      <c r="C457" s="140" t="s">
        <v>327</v>
      </c>
      <c r="D457" s="120"/>
      <c r="E457" s="120"/>
      <c r="F457" s="131"/>
      <c r="G457" s="131"/>
      <c r="H457" s="120"/>
      <c r="I457" s="320"/>
      <c r="J457" s="191"/>
      <c r="K457" s="191"/>
      <c r="L457" s="191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  <c r="AB457" s="191"/>
      <c r="AC457" s="191"/>
      <c r="AD457" s="191"/>
      <c r="AE457" s="191"/>
      <c r="AF457" s="191"/>
      <c r="AG457" s="316"/>
      <c r="AH457" s="315"/>
      <c r="AI457" s="120"/>
      <c r="AJ457" s="120">
        <v>0</v>
      </c>
      <c r="AK457" s="113">
        <f>D457-G457</f>
        <v>0</v>
      </c>
      <c r="AL457" s="172">
        <f>E457-G457</f>
        <v>0</v>
      </c>
      <c r="AM457" s="166"/>
      <c r="AN457" s="110"/>
      <c r="AO457" s="167"/>
      <c r="AP457" s="167"/>
      <c r="AQ457" s="110"/>
      <c r="AR457" s="170"/>
      <c r="AS457" s="417" t="e">
        <f t="shared" si="333"/>
        <v>#DIV/0!</v>
      </c>
    </row>
    <row r="458" spans="1:45" ht="15" customHeight="1" thickBot="1">
      <c r="A458" s="429" t="s">
        <v>735</v>
      </c>
      <c r="B458" s="138"/>
      <c r="C458" s="150" t="s">
        <v>515</v>
      </c>
      <c r="D458" s="118">
        <f>D459</f>
        <v>754524</v>
      </c>
      <c r="E458" s="118">
        <f>E459</f>
        <v>754524</v>
      </c>
      <c r="F458" s="118">
        <f t="shared" ref="F458:G458" si="406">F459</f>
        <v>772524</v>
      </c>
      <c r="G458" s="118">
        <f t="shared" si="406"/>
        <v>754524</v>
      </c>
      <c r="H458" s="118"/>
      <c r="I458" s="323"/>
      <c r="J458" s="191"/>
      <c r="K458" s="191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  <c r="AB458" s="191"/>
      <c r="AC458" s="191"/>
      <c r="AD458" s="191"/>
      <c r="AE458" s="191"/>
      <c r="AF458" s="191"/>
      <c r="AG458" s="316">
        <f t="shared" si="359"/>
        <v>0</v>
      </c>
      <c r="AH458" s="315">
        <f t="shared" si="360"/>
        <v>772524</v>
      </c>
      <c r="AI458" s="126"/>
      <c r="AJ458" s="116">
        <f t="shared" ref="AJ458:AJ465" si="407">G458</f>
        <v>754524</v>
      </c>
      <c r="AK458" s="178">
        <f t="shared" ref="AK458:AK465" si="408">D458-AJ458</f>
        <v>0</v>
      </c>
      <c r="AL458" s="171">
        <f t="shared" ref="AL458:AL465" si="409">E458-AJ458</f>
        <v>0</v>
      </c>
      <c r="AM458" s="160"/>
      <c r="AN458" s="116"/>
      <c r="AO458" s="116"/>
      <c r="AP458" s="116"/>
      <c r="AQ458" s="116"/>
      <c r="AR458" s="170">
        <f t="shared" ref="AR458:AR471" si="410">AM458+AN458+AO458+AP458+AQ458</f>
        <v>0</v>
      </c>
      <c r="AS458" s="417">
        <f t="shared" si="333"/>
        <v>100</v>
      </c>
    </row>
    <row r="459" spans="1:45" ht="15.75" customHeight="1" thickBot="1">
      <c r="A459" s="430" t="s">
        <v>133</v>
      </c>
      <c r="B459" s="138"/>
      <c r="C459" s="138" t="s">
        <v>444</v>
      </c>
      <c r="D459" s="126">
        <f>D460+D463</f>
        <v>754524</v>
      </c>
      <c r="E459" s="126">
        <f>E460+E463</f>
        <v>754524</v>
      </c>
      <c r="F459" s="126">
        <f t="shared" ref="F459:G459" si="411">F460+F463</f>
        <v>772524</v>
      </c>
      <c r="G459" s="126">
        <f t="shared" si="411"/>
        <v>754524</v>
      </c>
      <c r="H459" s="126"/>
      <c r="I459" s="320"/>
      <c r="J459" s="191"/>
      <c r="K459" s="191"/>
      <c r="L459" s="191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  <c r="AB459" s="191"/>
      <c r="AC459" s="191"/>
      <c r="AD459" s="191"/>
      <c r="AE459" s="191"/>
      <c r="AF459" s="191"/>
      <c r="AG459" s="316">
        <f t="shared" si="359"/>
        <v>0</v>
      </c>
      <c r="AH459" s="315">
        <f t="shared" si="360"/>
        <v>772524</v>
      </c>
      <c r="AI459" s="126"/>
      <c r="AJ459" s="126">
        <f t="shared" si="407"/>
        <v>754524</v>
      </c>
      <c r="AK459" s="178">
        <f t="shared" si="408"/>
        <v>0</v>
      </c>
      <c r="AL459" s="171">
        <f t="shared" si="409"/>
        <v>0</v>
      </c>
      <c r="AM459" s="160"/>
      <c r="AN459" s="116"/>
      <c r="AO459" s="116"/>
      <c r="AP459" s="116"/>
      <c r="AQ459" s="116"/>
      <c r="AR459" s="170">
        <f t="shared" si="410"/>
        <v>0</v>
      </c>
      <c r="AS459" s="417">
        <f t="shared" si="333"/>
        <v>100</v>
      </c>
    </row>
    <row r="460" spans="1:45" ht="15" customHeight="1" thickBot="1">
      <c r="A460" s="430" t="s">
        <v>736</v>
      </c>
      <c r="B460" s="138"/>
      <c r="C460" s="138" t="s">
        <v>445</v>
      </c>
      <c r="D460" s="126">
        <f>D461+D462</f>
        <v>754524</v>
      </c>
      <c r="E460" s="126">
        <f>E461+E462</f>
        <v>754524</v>
      </c>
      <c r="F460" s="126">
        <f>F461+F462</f>
        <v>712524</v>
      </c>
      <c r="G460" s="126">
        <f>G461+G462</f>
        <v>754524</v>
      </c>
      <c r="H460" s="126"/>
      <c r="I460" s="320"/>
      <c r="J460" s="191"/>
      <c r="K460" s="191"/>
      <c r="L460" s="191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  <c r="AB460" s="191"/>
      <c r="AC460" s="191"/>
      <c r="AD460" s="191"/>
      <c r="AE460" s="191"/>
      <c r="AF460" s="191"/>
      <c r="AG460" s="316">
        <f t="shared" si="359"/>
        <v>0</v>
      </c>
      <c r="AH460" s="315">
        <f t="shared" si="360"/>
        <v>712524</v>
      </c>
      <c r="AI460" s="126"/>
      <c r="AJ460" s="126">
        <f t="shared" si="407"/>
        <v>754524</v>
      </c>
      <c r="AK460" s="178">
        <f t="shared" si="408"/>
        <v>0</v>
      </c>
      <c r="AL460" s="171">
        <f t="shared" si="409"/>
        <v>0</v>
      </c>
      <c r="AM460" s="160"/>
      <c r="AN460" s="116"/>
      <c r="AO460" s="116"/>
      <c r="AP460" s="116"/>
      <c r="AQ460" s="116"/>
      <c r="AR460" s="170">
        <f t="shared" si="410"/>
        <v>0</v>
      </c>
      <c r="AS460" s="417">
        <f t="shared" si="333"/>
        <v>100</v>
      </c>
    </row>
    <row r="461" spans="1:45" ht="14.45" customHeight="1" thickBot="1">
      <c r="A461" s="430" t="s">
        <v>737</v>
      </c>
      <c r="B461" s="138"/>
      <c r="C461" s="138" t="s">
        <v>446</v>
      </c>
      <c r="D461" s="126">
        <f>D470</f>
        <v>60000</v>
      </c>
      <c r="E461" s="126">
        <f>E470</f>
        <v>60000</v>
      </c>
      <c r="F461" s="126">
        <f t="shared" ref="F461:G461" si="412">F470</f>
        <v>3000</v>
      </c>
      <c r="G461" s="126">
        <f t="shared" si="412"/>
        <v>60000</v>
      </c>
      <c r="H461" s="126"/>
      <c r="I461" s="320"/>
      <c r="J461" s="191"/>
      <c r="K461" s="191"/>
      <c r="L461" s="191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  <c r="AB461" s="191"/>
      <c r="AC461" s="191"/>
      <c r="AD461" s="191"/>
      <c r="AE461" s="191"/>
      <c r="AF461" s="191"/>
      <c r="AG461" s="316">
        <f t="shared" si="359"/>
        <v>0</v>
      </c>
      <c r="AH461" s="315">
        <f t="shared" si="360"/>
        <v>3000</v>
      </c>
      <c r="AI461" s="126"/>
      <c r="AJ461" s="126">
        <f t="shared" si="407"/>
        <v>60000</v>
      </c>
      <c r="AK461" s="178">
        <f t="shared" si="408"/>
        <v>0</v>
      </c>
      <c r="AL461" s="171">
        <f t="shared" si="409"/>
        <v>0</v>
      </c>
      <c r="AM461" s="160"/>
      <c r="AN461" s="116"/>
      <c r="AO461" s="116"/>
      <c r="AP461" s="116"/>
      <c r="AQ461" s="116"/>
      <c r="AR461" s="170">
        <f t="shared" si="410"/>
        <v>0</v>
      </c>
      <c r="AS461" s="417">
        <f t="shared" si="333"/>
        <v>100</v>
      </c>
    </row>
    <row r="462" spans="1:45" ht="22.5" customHeight="1" thickBot="1">
      <c r="A462" s="430" t="s">
        <v>291</v>
      </c>
      <c r="B462" s="138"/>
      <c r="C462" s="138" t="s">
        <v>322</v>
      </c>
      <c r="D462" s="126">
        <f>D467</f>
        <v>694524</v>
      </c>
      <c r="E462" s="126">
        <f>E467</f>
        <v>694524</v>
      </c>
      <c r="F462" s="126">
        <f>F467</f>
        <v>709524</v>
      </c>
      <c r="G462" s="126">
        <f>G467</f>
        <v>694524</v>
      </c>
      <c r="H462" s="126"/>
      <c r="I462" s="320"/>
      <c r="J462" s="191"/>
      <c r="K462" s="191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  <c r="AB462" s="191"/>
      <c r="AC462" s="191"/>
      <c r="AD462" s="191"/>
      <c r="AE462" s="191"/>
      <c r="AF462" s="191"/>
      <c r="AG462" s="316">
        <f t="shared" si="359"/>
        <v>0</v>
      </c>
      <c r="AH462" s="315">
        <f t="shared" si="360"/>
        <v>709524</v>
      </c>
      <c r="AI462" s="126"/>
      <c r="AJ462" s="126">
        <f t="shared" si="407"/>
        <v>694524</v>
      </c>
      <c r="AK462" s="178">
        <f t="shared" si="408"/>
        <v>0</v>
      </c>
      <c r="AL462" s="171">
        <f t="shared" si="409"/>
        <v>0</v>
      </c>
      <c r="AM462" s="160"/>
      <c r="AN462" s="116"/>
      <c r="AO462" s="116"/>
      <c r="AP462" s="116"/>
      <c r="AQ462" s="116"/>
      <c r="AR462" s="170"/>
      <c r="AS462" s="417">
        <f t="shared" si="333"/>
        <v>100</v>
      </c>
    </row>
    <row r="463" spans="1:45" ht="0.6" hidden="1" customHeight="1" thickBot="1">
      <c r="A463" s="430" t="s">
        <v>857</v>
      </c>
      <c r="B463" s="138"/>
      <c r="C463" s="138" t="s">
        <v>856</v>
      </c>
      <c r="D463" s="126">
        <f>D464</f>
        <v>0</v>
      </c>
      <c r="E463" s="126">
        <f>E464</f>
        <v>0</v>
      </c>
      <c r="F463" s="126">
        <f t="shared" ref="F463:G463" si="413">F464</f>
        <v>60000</v>
      </c>
      <c r="G463" s="126">
        <f t="shared" si="413"/>
        <v>0</v>
      </c>
      <c r="H463" s="126"/>
      <c r="I463" s="320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  <c r="AC463" s="191"/>
      <c r="AD463" s="191"/>
      <c r="AE463" s="191"/>
      <c r="AF463" s="191"/>
      <c r="AG463" s="316"/>
      <c r="AH463" s="315"/>
      <c r="AI463" s="126"/>
      <c r="AJ463" s="126">
        <f t="shared" si="407"/>
        <v>0</v>
      </c>
      <c r="AK463" s="178">
        <f t="shared" si="408"/>
        <v>0</v>
      </c>
      <c r="AL463" s="171">
        <f t="shared" si="409"/>
        <v>0</v>
      </c>
      <c r="AM463" s="160"/>
      <c r="AN463" s="116"/>
      <c r="AO463" s="116"/>
      <c r="AP463" s="116"/>
      <c r="AQ463" s="116"/>
      <c r="AR463" s="170"/>
      <c r="AS463" s="417" t="e">
        <f t="shared" si="333"/>
        <v>#DIV/0!</v>
      </c>
    </row>
    <row r="464" spans="1:45" ht="18.600000000000001" hidden="1" customHeight="1" thickBot="1">
      <c r="A464" s="430" t="s">
        <v>858</v>
      </c>
      <c r="B464" s="138"/>
      <c r="C464" s="138" t="s">
        <v>855</v>
      </c>
      <c r="D464" s="126">
        <f>D471</f>
        <v>0</v>
      </c>
      <c r="E464" s="126">
        <f>E471</f>
        <v>0</v>
      </c>
      <c r="F464" s="126">
        <f t="shared" ref="F464:G464" si="414">F471</f>
        <v>60000</v>
      </c>
      <c r="G464" s="126">
        <f t="shared" si="414"/>
        <v>0</v>
      </c>
      <c r="H464" s="126"/>
      <c r="I464" s="320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  <c r="AA464" s="191"/>
      <c r="AB464" s="191"/>
      <c r="AC464" s="191"/>
      <c r="AD464" s="191"/>
      <c r="AE464" s="191"/>
      <c r="AF464" s="191"/>
      <c r="AG464" s="316">
        <f t="shared" ref="AG464" si="415">SUM(I464:AF464)</f>
        <v>0</v>
      </c>
      <c r="AH464" s="315">
        <f t="shared" ref="AH464" si="416">F464+AG464</f>
        <v>60000</v>
      </c>
      <c r="AI464" s="126"/>
      <c r="AJ464" s="126">
        <f t="shared" si="407"/>
        <v>0</v>
      </c>
      <c r="AK464" s="178">
        <f t="shared" si="408"/>
        <v>0</v>
      </c>
      <c r="AL464" s="171">
        <f t="shared" si="409"/>
        <v>0</v>
      </c>
      <c r="AM464" s="160"/>
      <c r="AN464" s="116"/>
      <c r="AO464" s="116"/>
      <c r="AP464" s="116"/>
      <c r="AQ464" s="116"/>
      <c r="AR464" s="170">
        <f t="shared" ref="AR464" si="417">AM464+AN464+AO464+AP464+AQ464</f>
        <v>0</v>
      </c>
      <c r="AS464" s="417" t="e">
        <f t="shared" si="333"/>
        <v>#DIV/0!</v>
      </c>
    </row>
    <row r="465" spans="1:45" ht="15.75" customHeight="1" thickBot="1">
      <c r="A465" s="398" t="s">
        <v>292</v>
      </c>
      <c r="B465" s="142"/>
      <c r="C465" s="151" t="s">
        <v>628</v>
      </c>
      <c r="D465" s="121">
        <f>D467</f>
        <v>694524</v>
      </c>
      <c r="E465" s="121">
        <f>E467</f>
        <v>694524</v>
      </c>
      <c r="F465" s="121">
        <f>F467</f>
        <v>709524</v>
      </c>
      <c r="G465" s="121">
        <f>G467</f>
        <v>694524</v>
      </c>
      <c r="H465" s="121"/>
      <c r="I465" s="323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  <c r="AB465" s="191"/>
      <c r="AC465" s="191"/>
      <c r="AD465" s="191"/>
      <c r="AE465" s="191"/>
      <c r="AF465" s="191"/>
      <c r="AG465" s="316">
        <f t="shared" si="359"/>
        <v>0</v>
      </c>
      <c r="AH465" s="315">
        <f t="shared" si="360"/>
        <v>709524</v>
      </c>
      <c r="AI465" s="120"/>
      <c r="AJ465" s="110">
        <f t="shared" si="407"/>
        <v>694524</v>
      </c>
      <c r="AK465" s="113">
        <f t="shared" si="408"/>
        <v>0</v>
      </c>
      <c r="AL465" s="172">
        <f t="shared" si="409"/>
        <v>0</v>
      </c>
      <c r="AM465" s="133"/>
      <c r="AN465" s="110"/>
      <c r="AO465" s="110"/>
      <c r="AP465" s="110"/>
      <c r="AQ465" s="110"/>
      <c r="AR465" s="170">
        <f>AM465+AN465+AO465+AP465+AQ465</f>
        <v>0</v>
      </c>
      <c r="AS465" s="417">
        <f t="shared" si="333"/>
        <v>100</v>
      </c>
    </row>
    <row r="466" spans="1:45" ht="12" customHeight="1" thickBot="1">
      <c r="A466" s="425"/>
      <c r="B466" s="140"/>
      <c r="C466" s="136" t="s">
        <v>778</v>
      </c>
      <c r="D466" s="120"/>
      <c r="E466" s="120"/>
      <c r="F466" s="120" t="s">
        <v>729</v>
      </c>
      <c r="G466" s="120" t="s">
        <v>729</v>
      </c>
      <c r="H466" s="120"/>
      <c r="I466" s="320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  <c r="AB466" s="191"/>
      <c r="AC466" s="191"/>
      <c r="AD466" s="191"/>
      <c r="AE466" s="191"/>
      <c r="AF466" s="191"/>
      <c r="AG466" s="316">
        <f t="shared" si="359"/>
        <v>0</v>
      </c>
      <c r="AH466" s="315" t="e">
        <f t="shared" si="360"/>
        <v>#VALUE!</v>
      </c>
      <c r="AI466" s="120"/>
      <c r="AJ466" s="111"/>
      <c r="AK466" s="113"/>
      <c r="AL466" s="172"/>
      <c r="AM466" s="133"/>
      <c r="AN466" s="110"/>
      <c r="AO466" s="110"/>
      <c r="AP466" s="110"/>
      <c r="AQ466" s="110"/>
      <c r="AR466" s="170">
        <f>AM466+AN466+AO466+AP466+AQ466</f>
        <v>0</v>
      </c>
      <c r="AS466" s="417" t="e">
        <f t="shared" si="333"/>
        <v>#VALUE!</v>
      </c>
    </row>
    <row r="467" spans="1:45" ht="21.95" customHeight="1" thickBot="1">
      <c r="A467" s="426" t="s">
        <v>321</v>
      </c>
      <c r="B467" s="140"/>
      <c r="C467" s="152" t="s">
        <v>320</v>
      </c>
      <c r="D467" s="120">
        <v>694524</v>
      </c>
      <c r="E467" s="120">
        <v>694524</v>
      </c>
      <c r="F467" s="120">
        <v>709524</v>
      </c>
      <c r="G467" s="120">
        <f>57877+57877+57877+57877+57877+57877+57877+57877+57877+57877+57877+57877</f>
        <v>694524</v>
      </c>
      <c r="H467" s="120"/>
      <c r="I467" s="320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  <c r="AB467" s="191"/>
      <c r="AC467" s="191"/>
      <c r="AD467" s="191"/>
      <c r="AE467" s="191"/>
      <c r="AF467" s="191"/>
      <c r="AG467" s="316">
        <f t="shared" si="359"/>
        <v>0</v>
      </c>
      <c r="AH467" s="315">
        <f t="shared" si="360"/>
        <v>709524</v>
      </c>
      <c r="AI467" s="120"/>
      <c r="AJ467" s="120">
        <f>G467</f>
        <v>694524</v>
      </c>
      <c r="AK467" s="113">
        <f>D467-AJ467</f>
        <v>0</v>
      </c>
      <c r="AL467" s="172">
        <f>E467-AJ467</f>
        <v>0</v>
      </c>
      <c r="AM467" s="133"/>
      <c r="AN467" s="110"/>
      <c r="AO467" s="110"/>
      <c r="AP467" s="110"/>
      <c r="AQ467" s="110"/>
      <c r="AR467" s="170">
        <f>AM467+AN467+AO467+AP467+AQ467</f>
        <v>0</v>
      </c>
      <c r="AS467" s="417">
        <f t="shared" si="333"/>
        <v>100</v>
      </c>
    </row>
    <row r="468" spans="1:45" ht="15" customHeight="1" thickBot="1">
      <c r="A468" s="398" t="s">
        <v>739</v>
      </c>
      <c r="B468" s="142"/>
      <c r="C468" s="151" t="s">
        <v>516</v>
      </c>
      <c r="D468" s="121">
        <f>D471+D470</f>
        <v>60000</v>
      </c>
      <c r="E468" s="121">
        <f>E471+E470</f>
        <v>60000</v>
      </c>
      <c r="F468" s="121">
        <f>F471+F470</f>
        <v>63000</v>
      </c>
      <c r="G468" s="121">
        <f>G471+G470</f>
        <v>60000</v>
      </c>
      <c r="H468" s="121"/>
      <c r="I468" s="323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  <c r="AB468" s="191"/>
      <c r="AC468" s="191"/>
      <c r="AD468" s="191"/>
      <c r="AE468" s="191"/>
      <c r="AF468" s="191"/>
      <c r="AG468" s="316">
        <f t="shared" si="359"/>
        <v>0</v>
      </c>
      <c r="AH468" s="315">
        <f t="shared" si="360"/>
        <v>63000</v>
      </c>
      <c r="AI468" s="120"/>
      <c r="AJ468" s="110">
        <f>G468</f>
        <v>60000</v>
      </c>
      <c r="AK468" s="113">
        <f>D468-AJ468</f>
        <v>0</v>
      </c>
      <c r="AL468" s="172">
        <f>E468-AJ468</f>
        <v>0</v>
      </c>
      <c r="AM468" s="133"/>
      <c r="AN468" s="110"/>
      <c r="AO468" s="110"/>
      <c r="AP468" s="110"/>
      <c r="AQ468" s="110"/>
      <c r="AR468" s="170">
        <f t="shared" si="410"/>
        <v>0</v>
      </c>
      <c r="AS468" s="417">
        <f t="shared" si="333"/>
        <v>100</v>
      </c>
    </row>
    <row r="469" spans="1:45" ht="12" customHeight="1" thickBot="1">
      <c r="A469" s="425"/>
      <c r="B469" s="140"/>
      <c r="C469" s="136" t="s">
        <v>778</v>
      </c>
      <c r="D469" s="120"/>
      <c r="E469" s="120"/>
      <c r="F469" s="120" t="s">
        <v>729</v>
      </c>
      <c r="G469" s="120" t="s">
        <v>729</v>
      </c>
      <c r="H469" s="120"/>
      <c r="I469" s="320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  <c r="AB469" s="191"/>
      <c r="AC469" s="191"/>
      <c r="AD469" s="191"/>
      <c r="AE469" s="191"/>
      <c r="AF469" s="191"/>
      <c r="AG469" s="316">
        <f t="shared" si="359"/>
        <v>0</v>
      </c>
      <c r="AH469" s="315" t="e">
        <f t="shared" si="360"/>
        <v>#VALUE!</v>
      </c>
      <c r="AI469" s="120"/>
      <c r="AJ469" s="111"/>
      <c r="AK469" s="113"/>
      <c r="AL469" s="172"/>
      <c r="AM469" s="133"/>
      <c r="AN469" s="110"/>
      <c r="AO469" s="110"/>
      <c r="AP469" s="110"/>
      <c r="AQ469" s="110"/>
      <c r="AR469" s="170">
        <f t="shared" si="410"/>
        <v>0</v>
      </c>
      <c r="AS469" s="417" t="e">
        <f t="shared" si="333"/>
        <v>#VALUE!</v>
      </c>
    </row>
    <row r="470" spans="1:45" ht="16.5" customHeight="1" thickBot="1">
      <c r="A470" s="426" t="s">
        <v>737</v>
      </c>
      <c r="B470" s="140"/>
      <c r="C470" s="152" t="s">
        <v>517</v>
      </c>
      <c r="D470" s="120">
        <v>60000</v>
      </c>
      <c r="E470" s="120">
        <v>60000</v>
      </c>
      <c r="F470" s="120">
        <v>3000</v>
      </c>
      <c r="G470" s="120">
        <f>10000+10000+30000+10000</f>
        <v>60000</v>
      </c>
      <c r="H470" s="120"/>
      <c r="I470" s="320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316">
        <f t="shared" si="359"/>
        <v>0</v>
      </c>
      <c r="AH470" s="315">
        <f t="shared" si="360"/>
        <v>3000</v>
      </c>
      <c r="AI470" s="120"/>
      <c r="AJ470" s="120">
        <f>G470</f>
        <v>60000</v>
      </c>
      <c r="AK470" s="113">
        <f t="shared" ref="AK470:AK483" si="418">D470-AJ470</f>
        <v>0</v>
      </c>
      <c r="AL470" s="172">
        <f t="shared" ref="AL470:AL483" si="419">E470-AJ470</f>
        <v>0</v>
      </c>
      <c r="AM470" s="133"/>
      <c r="AN470" s="110"/>
      <c r="AO470" s="110"/>
      <c r="AP470" s="110"/>
      <c r="AQ470" s="110"/>
      <c r="AR470" s="170">
        <f>AM470+AN470+AO470+AP470+AQ470</f>
        <v>0</v>
      </c>
      <c r="AS470" s="417">
        <f t="shared" ref="AS470:AS506" si="420">G470/E470*100</f>
        <v>100</v>
      </c>
    </row>
    <row r="471" spans="1:45" ht="18" hidden="1" customHeight="1" thickBot="1">
      <c r="A471" s="426" t="s">
        <v>858</v>
      </c>
      <c r="B471" s="140"/>
      <c r="C471" s="152" t="s">
        <v>854</v>
      </c>
      <c r="D471" s="120">
        <v>0</v>
      </c>
      <c r="E471" s="120">
        <v>0</v>
      </c>
      <c r="F471" s="120">
        <v>60000</v>
      </c>
      <c r="G471" s="120">
        <v>0</v>
      </c>
      <c r="H471" s="120"/>
      <c r="I471" s="320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  <c r="AB471" s="191"/>
      <c r="AC471" s="191"/>
      <c r="AD471" s="191"/>
      <c r="AE471" s="191"/>
      <c r="AF471" s="191"/>
      <c r="AG471" s="316">
        <f t="shared" si="359"/>
        <v>0</v>
      </c>
      <c r="AH471" s="315">
        <f t="shared" si="360"/>
        <v>60000</v>
      </c>
      <c r="AI471" s="120"/>
      <c r="AJ471" s="120">
        <f t="shared" ref="AJ471:AJ491" si="421">G471</f>
        <v>0</v>
      </c>
      <c r="AK471" s="113">
        <f t="shared" si="418"/>
        <v>0</v>
      </c>
      <c r="AL471" s="172">
        <f t="shared" si="419"/>
        <v>0</v>
      </c>
      <c r="AM471" s="133"/>
      <c r="AN471" s="110"/>
      <c r="AO471" s="110"/>
      <c r="AP471" s="110"/>
      <c r="AQ471" s="110"/>
      <c r="AR471" s="170">
        <f t="shared" si="410"/>
        <v>0</v>
      </c>
      <c r="AS471" s="417" t="e">
        <f t="shared" si="420"/>
        <v>#DIV/0!</v>
      </c>
    </row>
    <row r="472" spans="1:45" ht="16.5" customHeight="1" thickBot="1">
      <c r="A472" s="432" t="s">
        <v>632</v>
      </c>
      <c r="B472" s="230"/>
      <c r="C472" s="238" t="s">
        <v>518</v>
      </c>
      <c r="D472" s="236">
        <f>D473+D477</f>
        <v>272535</v>
      </c>
      <c r="E472" s="236">
        <f>E473+E477</f>
        <v>272535</v>
      </c>
      <c r="F472" s="236">
        <f>F473+F477</f>
        <v>175684.66</v>
      </c>
      <c r="G472" s="236">
        <f>G473+G477</f>
        <v>272535</v>
      </c>
      <c r="H472" s="236"/>
      <c r="I472" s="32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  <c r="AC472" s="191"/>
      <c r="AD472" s="191"/>
      <c r="AE472" s="191"/>
      <c r="AF472" s="191"/>
      <c r="AG472" s="316">
        <f t="shared" si="359"/>
        <v>0</v>
      </c>
      <c r="AH472" s="315">
        <f t="shared" si="360"/>
        <v>175684.66</v>
      </c>
      <c r="AI472" s="232"/>
      <c r="AJ472" s="236">
        <f t="shared" si="421"/>
        <v>272535</v>
      </c>
      <c r="AK472" s="233">
        <f t="shared" si="418"/>
        <v>0</v>
      </c>
      <c r="AL472" s="234">
        <f t="shared" si="419"/>
        <v>0</v>
      </c>
      <c r="AM472" s="160"/>
      <c r="AN472" s="116"/>
      <c r="AO472" s="116"/>
      <c r="AP472" s="116"/>
      <c r="AQ472" s="116"/>
      <c r="AR472" s="170">
        <f t="shared" si="382"/>
        <v>0</v>
      </c>
      <c r="AS472" s="417">
        <f t="shared" si="420"/>
        <v>100</v>
      </c>
    </row>
    <row r="473" spans="1:45" ht="15" customHeight="1" thickBot="1">
      <c r="A473" s="424" t="s">
        <v>133</v>
      </c>
      <c r="B473" s="230"/>
      <c r="C473" s="230" t="s">
        <v>447</v>
      </c>
      <c r="D473" s="232">
        <f>D474+D475</f>
        <v>52100</v>
      </c>
      <c r="E473" s="232">
        <f>E474+E475</f>
        <v>52100</v>
      </c>
      <c r="F473" s="232">
        <f t="shared" ref="F473" si="422">F474+F475</f>
        <v>137484.66</v>
      </c>
      <c r="G473" s="232">
        <f t="shared" ref="G473" si="423">G474+G475</f>
        <v>52100</v>
      </c>
      <c r="H473" s="232"/>
      <c r="I473" s="320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  <c r="Z473" s="191"/>
      <c r="AA473" s="191"/>
      <c r="AB473" s="191"/>
      <c r="AC473" s="191"/>
      <c r="AD473" s="191"/>
      <c r="AE473" s="191"/>
      <c r="AF473" s="191"/>
      <c r="AG473" s="316">
        <f t="shared" si="359"/>
        <v>0</v>
      </c>
      <c r="AH473" s="315">
        <f t="shared" si="360"/>
        <v>137484.66</v>
      </c>
      <c r="AI473" s="232"/>
      <c r="AJ473" s="232">
        <f t="shared" si="421"/>
        <v>52100</v>
      </c>
      <c r="AK473" s="233">
        <f t="shared" si="418"/>
        <v>0</v>
      </c>
      <c r="AL473" s="234">
        <f t="shared" si="419"/>
        <v>0</v>
      </c>
      <c r="AM473" s="160"/>
      <c r="AN473" s="116"/>
      <c r="AO473" s="116"/>
      <c r="AP473" s="116"/>
      <c r="AQ473" s="116"/>
      <c r="AR473" s="170">
        <f t="shared" si="382"/>
        <v>0</v>
      </c>
      <c r="AS473" s="417">
        <f t="shared" si="420"/>
        <v>100</v>
      </c>
    </row>
    <row r="474" spans="1:45" ht="14.1" customHeight="1" thickBot="1">
      <c r="A474" s="424" t="s">
        <v>147</v>
      </c>
      <c r="B474" s="230"/>
      <c r="C474" s="230" t="s">
        <v>448</v>
      </c>
      <c r="D474" s="232">
        <f>D485+D486</f>
        <v>52100</v>
      </c>
      <c r="E474" s="232">
        <f>E485+E486</f>
        <v>52100</v>
      </c>
      <c r="F474" s="232">
        <f t="shared" ref="F474:G474" si="424">F485+F486</f>
        <v>100884.66</v>
      </c>
      <c r="G474" s="232">
        <f t="shared" si="424"/>
        <v>52100</v>
      </c>
      <c r="H474" s="232"/>
      <c r="I474" s="320"/>
      <c r="J474" s="191"/>
      <c r="K474" s="191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316">
        <f t="shared" si="359"/>
        <v>0</v>
      </c>
      <c r="AH474" s="315">
        <f t="shared" si="360"/>
        <v>100884.66</v>
      </c>
      <c r="AI474" s="232"/>
      <c r="AJ474" s="232">
        <f t="shared" si="421"/>
        <v>52100</v>
      </c>
      <c r="AK474" s="233">
        <f t="shared" si="418"/>
        <v>0</v>
      </c>
      <c r="AL474" s="234">
        <f t="shared" si="419"/>
        <v>0</v>
      </c>
      <c r="AM474" s="160"/>
      <c r="AN474" s="116"/>
      <c r="AO474" s="116"/>
      <c r="AP474" s="116"/>
      <c r="AQ474" s="116"/>
      <c r="AR474" s="170"/>
      <c r="AS474" s="417">
        <f t="shared" si="420"/>
        <v>100</v>
      </c>
    </row>
    <row r="475" spans="1:45" ht="15" hidden="1" customHeight="1" thickBot="1">
      <c r="A475" s="424" t="s">
        <v>88</v>
      </c>
      <c r="B475" s="230"/>
      <c r="C475" s="230" t="s">
        <v>904</v>
      </c>
      <c r="D475" s="232">
        <f>D476</f>
        <v>0</v>
      </c>
      <c r="E475" s="232">
        <f>E476</f>
        <v>0</v>
      </c>
      <c r="F475" s="232">
        <f t="shared" ref="F475:G475" si="425">F476</f>
        <v>36600</v>
      </c>
      <c r="G475" s="232">
        <f t="shared" si="425"/>
        <v>0</v>
      </c>
      <c r="H475" s="232"/>
      <c r="I475" s="320"/>
      <c r="J475" s="191"/>
      <c r="K475" s="191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316"/>
      <c r="AH475" s="315"/>
      <c r="AI475" s="232"/>
      <c r="AJ475" s="232">
        <f t="shared" si="421"/>
        <v>0</v>
      </c>
      <c r="AK475" s="233">
        <f t="shared" si="418"/>
        <v>0</v>
      </c>
      <c r="AL475" s="234">
        <f t="shared" si="419"/>
        <v>0</v>
      </c>
      <c r="AM475" s="160"/>
      <c r="AN475" s="116"/>
      <c r="AO475" s="116"/>
      <c r="AP475" s="116"/>
      <c r="AQ475" s="116"/>
      <c r="AR475" s="170"/>
    </row>
    <row r="476" spans="1:45" ht="15" hidden="1" customHeight="1" thickBot="1">
      <c r="A476" s="424" t="s">
        <v>858</v>
      </c>
      <c r="B476" s="230"/>
      <c r="C476" s="230" t="s">
        <v>905</v>
      </c>
      <c r="D476" s="232">
        <v>0</v>
      </c>
      <c r="E476" s="232">
        <v>0</v>
      </c>
      <c r="F476" s="232">
        <f t="shared" ref="F476" si="426">F485</f>
        <v>36600</v>
      </c>
      <c r="G476" s="232">
        <v>0</v>
      </c>
      <c r="H476" s="232"/>
      <c r="I476" s="320"/>
      <c r="J476" s="191"/>
      <c r="K476" s="191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316"/>
      <c r="AH476" s="315"/>
      <c r="AI476" s="232"/>
      <c r="AJ476" s="232">
        <f t="shared" si="421"/>
        <v>0</v>
      </c>
      <c r="AK476" s="233">
        <f t="shared" si="418"/>
        <v>0</v>
      </c>
      <c r="AL476" s="234">
        <f t="shared" si="419"/>
        <v>0</v>
      </c>
      <c r="AM476" s="160"/>
      <c r="AN476" s="116"/>
      <c r="AO476" s="116"/>
      <c r="AP476" s="116"/>
      <c r="AQ476" s="116"/>
      <c r="AR476" s="170"/>
    </row>
    <row r="477" spans="1:45" ht="12.95" hidden="1" customHeight="1" thickBot="1">
      <c r="A477" s="424" t="s">
        <v>141</v>
      </c>
      <c r="B477" s="230"/>
      <c r="C477" s="230" t="s">
        <v>449</v>
      </c>
      <c r="D477" s="232">
        <f>D478+D479</f>
        <v>220435</v>
      </c>
      <c r="E477" s="232">
        <f>E478+E479</f>
        <v>220435</v>
      </c>
      <c r="F477" s="232">
        <f>F478+F479</f>
        <v>38200</v>
      </c>
      <c r="G477" s="232">
        <f>G478+G479</f>
        <v>220435</v>
      </c>
      <c r="H477" s="232"/>
      <c r="I477" s="320"/>
      <c r="J477" s="191"/>
      <c r="K477" s="191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316">
        <f t="shared" si="359"/>
        <v>0</v>
      </c>
      <c r="AH477" s="315">
        <f t="shared" si="360"/>
        <v>38200</v>
      </c>
      <c r="AI477" s="232"/>
      <c r="AJ477" s="232">
        <f t="shared" si="421"/>
        <v>220435</v>
      </c>
      <c r="AK477" s="233">
        <f t="shared" si="418"/>
        <v>0</v>
      </c>
      <c r="AL477" s="234">
        <f t="shared" si="419"/>
        <v>0</v>
      </c>
      <c r="AM477" s="160"/>
      <c r="AN477" s="116"/>
      <c r="AO477" s="116"/>
      <c r="AP477" s="116"/>
      <c r="AQ477" s="116"/>
      <c r="AR477" s="170">
        <f t="shared" si="382"/>
        <v>0</v>
      </c>
      <c r="AS477" s="417">
        <f t="shared" si="420"/>
        <v>100</v>
      </c>
    </row>
    <row r="478" spans="1:45" ht="12.95" customHeight="1" thickBot="1">
      <c r="A478" s="424" t="s">
        <v>143</v>
      </c>
      <c r="B478" s="230"/>
      <c r="C478" s="230" t="s">
        <v>450</v>
      </c>
      <c r="D478" s="232">
        <f>D487+D492</f>
        <v>79000</v>
      </c>
      <c r="E478" s="232">
        <f>E487+E492</f>
        <v>79000</v>
      </c>
      <c r="F478" s="232">
        <f t="shared" ref="F478" si="427">F487+F492</f>
        <v>25500</v>
      </c>
      <c r="G478" s="232">
        <f t="shared" ref="G478" si="428">G487+G492</f>
        <v>79000</v>
      </c>
      <c r="H478" s="232"/>
      <c r="I478" s="320"/>
      <c r="J478" s="191"/>
      <c r="K478" s="191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  <c r="AB478" s="191"/>
      <c r="AC478" s="191"/>
      <c r="AD478" s="191"/>
      <c r="AE478" s="191"/>
      <c r="AF478" s="191"/>
      <c r="AG478" s="316">
        <f t="shared" si="359"/>
        <v>0</v>
      </c>
      <c r="AH478" s="315">
        <f t="shared" si="360"/>
        <v>25500</v>
      </c>
      <c r="AI478" s="232"/>
      <c r="AJ478" s="232">
        <f t="shared" si="421"/>
        <v>79000</v>
      </c>
      <c r="AK478" s="233">
        <f t="shared" si="418"/>
        <v>0</v>
      </c>
      <c r="AL478" s="234">
        <f t="shared" si="419"/>
        <v>0</v>
      </c>
      <c r="AM478" s="160"/>
      <c r="AN478" s="116"/>
      <c r="AO478" s="116"/>
      <c r="AP478" s="116"/>
      <c r="AQ478" s="116"/>
      <c r="AR478" s="170">
        <f t="shared" si="382"/>
        <v>0</v>
      </c>
      <c r="AS478" s="417">
        <f t="shared" si="420"/>
        <v>100</v>
      </c>
    </row>
    <row r="479" spans="1:45" ht="13.5" customHeight="1" thickBot="1">
      <c r="A479" s="424" t="s">
        <v>721</v>
      </c>
      <c r="B479" s="230"/>
      <c r="C479" s="230" t="s">
        <v>451</v>
      </c>
      <c r="D479" s="232">
        <f>D481+D482+D480</f>
        <v>141435</v>
      </c>
      <c r="E479" s="232">
        <f>E481+E482+E480</f>
        <v>141435</v>
      </c>
      <c r="F479" s="232">
        <f t="shared" ref="F479:G479" si="429">F481+F482+F480</f>
        <v>12700</v>
      </c>
      <c r="G479" s="232">
        <f t="shared" si="429"/>
        <v>141435</v>
      </c>
      <c r="H479" s="232"/>
      <c r="I479" s="320"/>
      <c r="J479" s="191"/>
      <c r="K479" s="191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  <c r="AB479" s="191"/>
      <c r="AC479" s="191"/>
      <c r="AD479" s="191"/>
      <c r="AE479" s="191"/>
      <c r="AF479" s="191"/>
      <c r="AG479" s="316">
        <f t="shared" si="359"/>
        <v>0</v>
      </c>
      <c r="AH479" s="315">
        <f t="shared" si="360"/>
        <v>12700</v>
      </c>
      <c r="AI479" s="232"/>
      <c r="AJ479" s="232">
        <f t="shared" si="421"/>
        <v>141435</v>
      </c>
      <c r="AK479" s="233">
        <f t="shared" si="418"/>
        <v>0</v>
      </c>
      <c r="AL479" s="234">
        <f t="shared" si="419"/>
        <v>0</v>
      </c>
      <c r="AM479" s="160"/>
      <c r="AN479" s="116"/>
      <c r="AO479" s="116"/>
      <c r="AP479" s="116"/>
      <c r="AQ479" s="116"/>
      <c r="AR479" s="170">
        <f t="shared" si="382"/>
        <v>0</v>
      </c>
      <c r="AS479" s="417">
        <f t="shared" si="420"/>
        <v>100</v>
      </c>
    </row>
    <row r="480" spans="1:45" ht="15.95" customHeight="1" thickBot="1">
      <c r="A480" s="424" t="s">
        <v>804</v>
      </c>
      <c r="B480" s="230"/>
      <c r="C480" s="230" t="s">
        <v>1000</v>
      </c>
      <c r="D480" s="232">
        <f t="shared" ref="D480:D482" si="430">D488</f>
        <v>29600</v>
      </c>
      <c r="E480" s="232">
        <f t="shared" ref="E480" si="431">E488</f>
        <v>29600</v>
      </c>
      <c r="F480" s="232">
        <f t="shared" ref="F480:G480" si="432">F488</f>
        <v>0</v>
      </c>
      <c r="G480" s="232">
        <f t="shared" si="432"/>
        <v>29600</v>
      </c>
      <c r="H480" s="232"/>
      <c r="I480" s="320"/>
      <c r="J480" s="191"/>
      <c r="K480" s="191"/>
      <c r="L480" s="191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  <c r="AB480" s="191"/>
      <c r="AC480" s="191"/>
      <c r="AD480" s="191"/>
      <c r="AE480" s="191"/>
      <c r="AF480" s="191"/>
      <c r="AG480" s="316"/>
      <c r="AH480" s="315"/>
      <c r="AI480" s="232"/>
      <c r="AJ480" s="232">
        <f t="shared" si="421"/>
        <v>29600</v>
      </c>
      <c r="AK480" s="233">
        <f t="shared" si="418"/>
        <v>0</v>
      </c>
      <c r="AL480" s="234">
        <f t="shared" si="419"/>
        <v>0</v>
      </c>
      <c r="AM480" s="160"/>
      <c r="AN480" s="116"/>
      <c r="AO480" s="116"/>
      <c r="AP480" s="116"/>
      <c r="AQ480" s="116"/>
      <c r="AR480" s="170"/>
    </row>
    <row r="481" spans="1:45" ht="13.5" customHeight="1" thickBot="1">
      <c r="A481" s="424" t="s">
        <v>319</v>
      </c>
      <c r="B481" s="230"/>
      <c r="C481" s="230" t="s">
        <v>829</v>
      </c>
      <c r="D481" s="232">
        <f t="shared" si="430"/>
        <v>55470</v>
      </c>
      <c r="E481" s="232">
        <f t="shared" ref="E481" si="433">E489</f>
        <v>55470</v>
      </c>
      <c r="F481" s="232"/>
      <c r="G481" s="232">
        <f>G489</f>
        <v>55470</v>
      </c>
      <c r="H481" s="232"/>
      <c r="I481" s="320"/>
      <c r="J481" s="191"/>
      <c r="K481" s="191"/>
      <c r="L481" s="191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  <c r="AB481" s="191"/>
      <c r="AC481" s="191"/>
      <c r="AD481" s="191"/>
      <c r="AE481" s="191"/>
      <c r="AF481" s="191"/>
      <c r="AG481" s="316"/>
      <c r="AH481" s="315"/>
      <c r="AI481" s="232"/>
      <c r="AJ481" s="232">
        <f t="shared" si="421"/>
        <v>55470</v>
      </c>
      <c r="AK481" s="233">
        <f t="shared" si="418"/>
        <v>0</v>
      </c>
      <c r="AL481" s="234">
        <f t="shared" si="419"/>
        <v>0</v>
      </c>
      <c r="AM481" s="160"/>
      <c r="AN481" s="116"/>
      <c r="AO481" s="116"/>
      <c r="AP481" s="116"/>
      <c r="AQ481" s="116"/>
      <c r="AR481" s="170"/>
      <c r="AS481" s="417">
        <f t="shared" si="420"/>
        <v>100</v>
      </c>
    </row>
    <row r="482" spans="1:45" ht="22.5" customHeight="1" thickBot="1">
      <c r="A482" s="424" t="s">
        <v>314</v>
      </c>
      <c r="B482" s="230"/>
      <c r="C482" s="230" t="s">
        <v>576</v>
      </c>
      <c r="D482" s="232">
        <f t="shared" si="430"/>
        <v>56365</v>
      </c>
      <c r="E482" s="232">
        <f t="shared" ref="E482" si="434">E490</f>
        <v>56365</v>
      </c>
      <c r="F482" s="232">
        <f>F490</f>
        <v>12700</v>
      </c>
      <c r="G482" s="232">
        <f>G490</f>
        <v>56365</v>
      </c>
      <c r="H482" s="232"/>
      <c r="I482" s="320"/>
      <c r="J482" s="191"/>
      <c r="K482" s="191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  <c r="AA482" s="191"/>
      <c r="AB482" s="191"/>
      <c r="AC482" s="191"/>
      <c r="AD482" s="191"/>
      <c r="AE482" s="191"/>
      <c r="AF482" s="191"/>
      <c r="AG482" s="316"/>
      <c r="AH482" s="315"/>
      <c r="AI482" s="232"/>
      <c r="AJ482" s="232">
        <f t="shared" si="421"/>
        <v>56365</v>
      </c>
      <c r="AK482" s="233">
        <f t="shared" si="418"/>
        <v>0</v>
      </c>
      <c r="AL482" s="234">
        <f t="shared" si="419"/>
        <v>0</v>
      </c>
      <c r="AM482" s="160"/>
      <c r="AN482" s="116"/>
      <c r="AO482" s="116"/>
      <c r="AP482" s="116"/>
      <c r="AQ482" s="116"/>
      <c r="AR482" s="170"/>
      <c r="AS482" s="417">
        <f t="shared" si="420"/>
        <v>100</v>
      </c>
    </row>
    <row r="483" spans="1:45" ht="13.5" customHeight="1" thickBot="1">
      <c r="A483" s="398" t="s">
        <v>592</v>
      </c>
      <c r="B483" s="140"/>
      <c r="C483" s="139" t="s">
        <v>519</v>
      </c>
      <c r="D483" s="110">
        <f>SUM(D485:D490)</f>
        <v>272535</v>
      </c>
      <c r="E483" s="110">
        <f>SUM(E485:E490)</f>
        <v>272535</v>
      </c>
      <c r="F483" s="110">
        <f>SUM(F485:F490)</f>
        <v>139084.66</v>
      </c>
      <c r="G483" s="110">
        <f>SUM(G485:G490)</f>
        <v>272535</v>
      </c>
      <c r="H483" s="110"/>
      <c r="I483" s="32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  <c r="AA483" s="191"/>
      <c r="AB483" s="191"/>
      <c r="AC483" s="191"/>
      <c r="AD483" s="191"/>
      <c r="AE483" s="191"/>
      <c r="AF483" s="191"/>
      <c r="AG483" s="316">
        <f t="shared" si="359"/>
        <v>0</v>
      </c>
      <c r="AH483" s="315">
        <f t="shared" si="360"/>
        <v>139084.66</v>
      </c>
      <c r="AI483" s="120"/>
      <c r="AJ483" s="110">
        <f t="shared" si="421"/>
        <v>272535</v>
      </c>
      <c r="AK483" s="113">
        <f t="shared" si="418"/>
        <v>0</v>
      </c>
      <c r="AL483" s="172">
        <f t="shared" si="419"/>
        <v>0</v>
      </c>
      <c r="AM483" s="133"/>
      <c r="AN483" s="110"/>
      <c r="AO483" s="110"/>
      <c r="AP483" s="110"/>
      <c r="AQ483" s="110"/>
      <c r="AR483" s="170">
        <f>AM483+AN483+AO483+AP483+AQ483</f>
        <v>0</v>
      </c>
      <c r="AS483" s="417">
        <f t="shared" si="420"/>
        <v>100</v>
      </c>
    </row>
    <row r="484" spans="1:45" ht="11.25" customHeight="1" thickBot="1">
      <c r="A484" s="562"/>
      <c r="B484" s="140"/>
      <c r="C484" s="136" t="s">
        <v>778</v>
      </c>
      <c r="D484" s="111"/>
      <c r="E484" s="111"/>
      <c r="F484" s="111"/>
      <c r="G484" s="111"/>
      <c r="H484" s="111"/>
      <c r="I484" s="322"/>
      <c r="J484" s="191"/>
      <c r="K484" s="191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  <c r="AA484" s="191"/>
      <c r="AB484" s="191"/>
      <c r="AC484" s="191"/>
      <c r="AD484" s="191"/>
      <c r="AE484" s="191"/>
      <c r="AF484" s="191"/>
      <c r="AG484" s="316">
        <f t="shared" si="359"/>
        <v>0</v>
      </c>
      <c r="AH484" s="315">
        <f t="shared" si="360"/>
        <v>0</v>
      </c>
      <c r="AI484" s="120"/>
      <c r="AJ484" s="110"/>
      <c r="AK484" s="113"/>
      <c r="AL484" s="172"/>
      <c r="AM484" s="133"/>
      <c r="AN484" s="110"/>
      <c r="AO484" s="110"/>
      <c r="AP484" s="110"/>
      <c r="AQ484" s="110"/>
      <c r="AR484" s="170">
        <f>AM484+AN484+AO484+AP484+AQ484</f>
        <v>0</v>
      </c>
      <c r="AS484" s="417" t="e">
        <f t="shared" si="420"/>
        <v>#DIV/0!</v>
      </c>
    </row>
    <row r="485" spans="1:45" ht="12.95" customHeight="1" thickBot="1">
      <c r="A485" s="563" t="s">
        <v>858</v>
      </c>
      <c r="B485" s="140"/>
      <c r="C485" s="140" t="s">
        <v>910</v>
      </c>
      <c r="D485" s="120">
        <v>52100</v>
      </c>
      <c r="E485" s="120">
        <v>52100</v>
      </c>
      <c r="F485" s="120">
        <v>36600</v>
      </c>
      <c r="G485" s="120">
        <f>7700+13000+3200+7600+16000+2600+2000</f>
        <v>52100</v>
      </c>
      <c r="H485" s="111"/>
      <c r="I485" s="191"/>
      <c r="J485" s="191"/>
      <c r="K485" s="191"/>
      <c r="L485" s="320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>
        <v>1100</v>
      </c>
      <c r="X485" s="191"/>
      <c r="Y485" s="191"/>
      <c r="Z485" s="191"/>
      <c r="AA485" s="191"/>
      <c r="AB485" s="191"/>
      <c r="AC485" s="191"/>
      <c r="AD485" s="191"/>
      <c r="AE485" s="191"/>
      <c r="AF485" s="191"/>
      <c r="AG485" s="316">
        <f t="shared" si="359"/>
        <v>1100</v>
      </c>
      <c r="AH485" s="315">
        <f t="shared" si="360"/>
        <v>37700</v>
      </c>
      <c r="AI485" s="120"/>
      <c r="AJ485" s="110">
        <f t="shared" si="421"/>
        <v>52100</v>
      </c>
      <c r="AK485" s="113">
        <f t="shared" ref="AK485:AK497" si="435">D485-AJ485</f>
        <v>0</v>
      </c>
      <c r="AL485" s="172">
        <f t="shared" ref="AL485:AL497" si="436">E485-AJ485</f>
        <v>0</v>
      </c>
      <c r="AM485" s="133"/>
      <c r="AN485" s="110"/>
      <c r="AO485" s="110"/>
      <c r="AP485" s="110"/>
      <c r="AQ485" s="110"/>
      <c r="AR485" s="170"/>
      <c r="AS485" s="417">
        <f t="shared" si="420"/>
        <v>100</v>
      </c>
    </row>
    <row r="486" spans="1:45" ht="18.600000000000001" hidden="1" customHeight="1" thickBot="1">
      <c r="A486" s="425" t="s">
        <v>147</v>
      </c>
      <c r="B486" s="140"/>
      <c r="C486" s="140" t="s">
        <v>521</v>
      </c>
      <c r="D486" s="120"/>
      <c r="E486" s="120"/>
      <c r="F486" s="120">
        <v>64284.66</v>
      </c>
      <c r="G486" s="120"/>
      <c r="H486" s="111"/>
      <c r="I486" s="320"/>
      <c r="J486" s="191"/>
      <c r="K486" s="191"/>
      <c r="L486" s="191"/>
      <c r="M486" s="191"/>
      <c r="N486" s="191"/>
      <c r="O486" s="191"/>
      <c r="P486" s="191"/>
      <c r="Q486" s="191"/>
      <c r="R486" s="320"/>
      <c r="S486" s="191"/>
      <c r="T486" s="191"/>
      <c r="U486" s="191"/>
      <c r="V486" s="191"/>
      <c r="W486" s="191"/>
      <c r="X486" s="191"/>
      <c r="Y486" s="191"/>
      <c r="Z486" s="191"/>
      <c r="AA486" s="191"/>
      <c r="AB486" s="191"/>
      <c r="AC486" s="191"/>
      <c r="AD486" s="191"/>
      <c r="AE486" s="191"/>
      <c r="AF486" s="191"/>
      <c r="AG486" s="316">
        <f t="shared" si="359"/>
        <v>0</v>
      </c>
      <c r="AH486" s="315">
        <f t="shared" si="360"/>
        <v>64284.66</v>
      </c>
      <c r="AI486" s="120"/>
      <c r="AJ486" s="110">
        <f t="shared" si="421"/>
        <v>0</v>
      </c>
      <c r="AK486" s="113">
        <f t="shared" si="435"/>
        <v>0</v>
      </c>
      <c r="AL486" s="172">
        <f t="shared" si="436"/>
        <v>0</v>
      </c>
      <c r="AM486" s="133"/>
      <c r="AN486" s="110"/>
      <c r="AO486" s="110"/>
      <c r="AP486" s="110"/>
      <c r="AQ486" s="110"/>
      <c r="AR486" s="170"/>
      <c r="AS486" s="417" t="e">
        <f t="shared" si="420"/>
        <v>#DIV/0!</v>
      </c>
    </row>
    <row r="487" spans="1:45" ht="14.1" customHeight="1" thickBot="1">
      <c r="A487" s="425" t="s">
        <v>143</v>
      </c>
      <c r="B487" s="140"/>
      <c r="C487" s="140" t="s">
        <v>522</v>
      </c>
      <c r="D487" s="120">
        <v>79000</v>
      </c>
      <c r="E487" s="120">
        <v>79000</v>
      </c>
      <c r="F487" s="120">
        <v>25500</v>
      </c>
      <c r="G487" s="120">
        <v>79000</v>
      </c>
      <c r="H487" s="120"/>
      <c r="I487" s="320"/>
      <c r="J487" s="191"/>
      <c r="K487" s="191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  <c r="AA487" s="191"/>
      <c r="AB487" s="191"/>
      <c r="AC487" s="191"/>
      <c r="AD487" s="191"/>
      <c r="AE487" s="191"/>
      <c r="AF487" s="191"/>
      <c r="AG487" s="316">
        <f t="shared" si="359"/>
        <v>0</v>
      </c>
      <c r="AH487" s="315">
        <f t="shared" si="360"/>
        <v>25500</v>
      </c>
      <c r="AI487" s="120"/>
      <c r="AJ487" s="110">
        <f t="shared" si="421"/>
        <v>79000</v>
      </c>
      <c r="AK487" s="113">
        <f t="shared" si="435"/>
        <v>0</v>
      </c>
      <c r="AL487" s="172">
        <f t="shared" si="436"/>
        <v>0</v>
      </c>
      <c r="AM487" s="133"/>
      <c r="AN487" s="110"/>
      <c r="AO487" s="110"/>
      <c r="AP487" s="110"/>
      <c r="AQ487" s="110"/>
      <c r="AR487" s="170">
        <f t="shared" ref="AR487:AR498" si="437">AM487+AN487+AO487+AP487+AQ487</f>
        <v>0</v>
      </c>
      <c r="AS487" s="417">
        <f t="shared" si="420"/>
        <v>100</v>
      </c>
    </row>
    <row r="488" spans="1:45" ht="15.95" customHeight="1" thickBot="1">
      <c r="A488" s="425" t="s">
        <v>804</v>
      </c>
      <c r="B488" s="140"/>
      <c r="C488" s="140" t="s">
        <v>965</v>
      </c>
      <c r="D488" s="120">
        <v>29600</v>
      </c>
      <c r="E488" s="120">
        <v>29600</v>
      </c>
      <c r="F488" s="120"/>
      <c r="G488" s="120">
        <f>29600</f>
        <v>29600</v>
      </c>
      <c r="H488" s="120"/>
      <c r="I488" s="320"/>
      <c r="J488" s="191"/>
      <c r="K488" s="191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  <c r="AA488" s="191"/>
      <c r="AB488" s="191"/>
      <c r="AC488" s="191"/>
      <c r="AD488" s="191"/>
      <c r="AE488" s="191"/>
      <c r="AF488" s="191"/>
      <c r="AG488" s="316"/>
      <c r="AH488" s="315"/>
      <c r="AI488" s="120"/>
      <c r="AJ488" s="110">
        <f t="shared" si="421"/>
        <v>29600</v>
      </c>
      <c r="AK488" s="113">
        <f t="shared" si="435"/>
        <v>0</v>
      </c>
      <c r="AL488" s="172">
        <f t="shared" si="436"/>
        <v>0</v>
      </c>
      <c r="AM488" s="133"/>
      <c r="AN488" s="110"/>
      <c r="AO488" s="110"/>
      <c r="AP488" s="110"/>
      <c r="AQ488" s="110"/>
      <c r="AR488" s="170"/>
    </row>
    <row r="489" spans="1:45" ht="15.95" customHeight="1" thickBot="1">
      <c r="A489" s="425" t="s">
        <v>319</v>
      </c>
      <c r="B489" s="140"/>
      <c r="C489" s="140" t="s">
        <v>747</v>
      </c>
      <c r="D489" s="120">
        <v>55470</v>
      </c>
      <c r="E489" s="120">
        <v>55470</v>
      </c>
      <c r="F489" s="120"/>
      <c r="G489" s="120">
        <f>17300+38170</f>
        <v>55470</v>
      </c>
      <c r="H489" s="120"/>
      <c r="I489" s="320"/>
      <c r="J489" s="191"/>
      <c r="K489" s="191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  <c r="AA489" s="191"/>
      <c r="AB489" s="191"/>
      <c r="AC489" s="191"/>
      <c r="AD489" s="191"/>
      <c r="AE489" s="191"/>
      <c r="AF489" s="191"/>
      <c r="AG489" s="316"/>
      <c r="AH489" s="315"/>
      <c r="AI489" s="120"/>
      <c r="AJ489" s="110">
        <f t="shared" si="421"/>
        <v>55470</v>
      </c>
      <c r="AK489" s="113">
        <f t="shared" si="435"/>
        <v>0</v>
      </c>
      <c r="AL489" s="172">
        <f t="shared" si="436"/>
        <v>0</v>
      </c>
      <c r="AM489" s="133"/>
      <c r="AN489" s="110"/>
      <c r="AO489" s="110"/>
      <c r="AP489" s="110"/>
      <c r="AQ489" s="110"/>
      <c r="AR489" s="170"/>
      <c r="AS489" s="417">
        <f t="shared" si="420"/>
        <v>100</v>
      </c>
    </row>
    <row r="490" spans="1:45" ht="24" customHeight="1" thickBot="1">
      <c r="A490" s="425" t="s">
        <v>314</v>
      </c>
      <c r="B490" s="140"/>
      <c r="C490" s="140" t="s">
        <v>748</v>
      </c>
      <c r="D490" s="120">
        <v>56365</v>
      </c>
      <c r="E490" s="120">
        <v>56365</v>
      </c>
      <c r="F490" s="120">
        <v>12700</v>
      </c>
      <c r="G490" s="120">
        <f>10000+46365</f>
        <v>56365</v>
      </c>
      <c r="H490" s="120"/>
      <c r="I490" s="320"/>
      <c r="J490" s="191"/>
      <c r="K490" s="191"/>
      <c r="L490" s="191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1"/>
      <c r="Z490" s="191"/>
      <c r="AA490" s="191"/>
      <c r="AB490" s="191"/>
      <c r="AC490" s="191"/>
      <c r="AD490" s="191"/>
      <c r="AE490" s="191"/>
      <c r="AF490" s="191"/>
      <c r="AG490" s="316">
        <f t="shared" si="359"/>
        <v>0</v>
      </c>
      <c r="AH490" s="315">
        <f t="shared" si="360"/>
        <v>12700</v>
      </c>
      <c r="AI490" s="120"/>
      <c r="AJ490" s="110">
        <f t="shared" si="421"/>
        <v>56365</v>
      </c>
      <c r="AK490" s="113">
        <f t="shared" si="435"/>
        <v>0</v>
      </c>
      <c r="AL490" s="172">
        <f t="shared" si="436"/>
        <v>0</v>
      </c>
      <c r="AM490" s="166">
        <v>4080</v>
      </c>
      <c r="AN490" s="110"/>
      <c r="AO490" s="110"/>
      <c r="AP490" s="110"/>
      <c r="AQ490" s="110"/>
      <c r="AR490" s="170">
        <f t="shared" si="437"/>
        <v>4080</v>
      </c>
      <c r="AS490" s="417">
        <f t="shared" si="420"/>
        <v>100</v>
      </c>
    </row>
    <row r="491" spans="1:45" ht="21" hidden="1" customHeight="1" thickBot="1">
      <c r="A491" s="398" t="s">
        <v>365</v>
      </c>
      <c r="B491" s="140"/>
      <c r="C491" s="139" t="s">
        <v>861</v>
      </c>
      <c r="D491" s="110">
        <f>D492</f>
        <v>0</v>
      </c>
      <c r="E491" s="110">
        <f t="shared" ref="E491:G491" si="438">E492</f>
        <v>0</v>
      </c>
      <c r="F491" s="110">
        <f t="shared" si="438"/>
        <v>0</v>
      </c>
      <c r="G491" s="110">
        <f t="shared" si="438"/>
        <v>0</v>
      </c>
      <c r="H491" s="110"/>
      <c r="I491" s="321"/>
      <c r="J491" s="191"/>
      <c r="K491" s="191"/>
      <c r="L491" s="191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1"/>
      <c r="Z491" s="191"/>
      <c r="AA491" s="191"/>
      <c r="AB491" s="191"/>
      <c r="AC491" s="191"/>
      <c r="AD491" s="191"/>
      <c r="AE491" s="191"/>
      <c r="AF491" s="191"/>
      <c r="AG491" s="316">
        <f t="shared" ref="AG491" si="439">SUM(I491:AF491)</f>
        <v>0</v>
      </c>
      <c r="AH491" s="315">
        <f t="shared" ref="AH491" si="440">F491+AG491</f>
        <v>0</v>
      </c>
      <c r="AI491" s="120"/>
      <c r="AJ491" s="110">
        <f t="shared" si="421"/>
        <v>0</v>
      </c>
      <c r="AK491" s="113">
        <f t="shared" si="435"/>
        <v>0</v>
      </c>
      <c r="AL491" s="172">
        <f t="shared" si="436"/>
        <v>0</v>
      </c>
      <c r="AM491" s="133"/>
      <c r="AN491" s="110"/>
      <c r="AO491" s="110"/>
      <c r="AP491" s="110"/>
      <c r="AQ491" s="110"/>
      <c r="AR491" s="170">
        <f>AM491+AN491+AO491+AP491+AQ491</f>
        <v>0</v>
      </c>
      <c r="AS491" s="417" t="e">
        <f t="shared" ref="AS491" si="441">G491/E491*100</f>
        <v>#DIV/0!</v>
      </c>
    </row>
    <row r="492" spans="1:45" ht="15.95" hidden="1" customHeight="1" thickBot="1">
      <c r="A492" s="425" t="s">
        <v>143</v>
      </c>
      <c r="B492" s="140"/>
      <c r="C492" s="140" t="s">
        <v>862</v>
      </c>
      <c r="D492" s="120"/>
      <c r="E492" s="120"/>
      <c r="F492" s="120"/>
      <c r="G492" s="120"/>
      <c r="H492" s="120"/>
      <c r="I492" s="320"/>
      <c r="J492" s="191"/>
      <c r="K492" s="191"/>
      <c r="L492" s="191"/>
      <c r="M492" s="191"/>
      <c r="N492" s="191"/>
      <c r="O492" s="191"/>
      <c r="P492" s="191"/>
      <c r="Q492" s="191"/>
      <c r="R492" s="191"/>
      <c r="S492" s="191"/>
      <c r="T492" s="191"/>
      <c r="U492" s="191"/>
      <c r="V492" s="191"/>
      <c r="W492" s="191"/>
      <c r="X492" s="191"/>
      <c r="Y492" s="191"/>
      <c r="Z492" s="191"/>
      <c r="AA492" s="191"/>
      <c r="AB492" s="191"/>
      <c r="AC492" s="191"/>
      <c r="AD492" s="191"/>
      <c r="AE492" s="191"/>
      <c r="AF492" s="191"/>
      <c r="AG492" s="316"/>
      <c r="AH492" s="315"/>
      <c r="AI492" s="120"/>
      <c r="AJ492" s="120">
        <f t="shared" ref="AJ492:AJ497" si="442">G492</f>
        <v>0</v>
      </c>
      <c r="AK492" s="113">
        <f t="shared" si="435"/>
        <v>0</v>
      </c>
      <c r="AL492" s="172">
        <f t="shared" si="436"/>
        <v>0</v>
      </c>
      <c r="AM492" s="166"/>
      <c r="AN492" s="110"/>
      <c r="AO492" s="110"/>
      <c r="AP492" s="110"/>
      <c r="AQ492" s="110"/>
      <c r="AR492" s="170"/>
    </row>
    <row r="493" spans="1:45" ht="15.6" hidden="1" customHeight="1" thickBot="1">
      <c r="A493" s="432" t="s">
        <v>633</v>
      </c>
      <c r="B493" s="230"/>
      <c r="C493" s="238" t="s">
        <v>523</v>
      </c>
      <c r="D493" s="236">
        <f t="shared" ref="D493:G495" si="443">D494</f>
        <v>0</v>
      </c>
      <c r="E493" s="236">
        <f t="shared" si="443"/>
        <v>0</v>
      </c>
      <c r="F493" s="236">
        <f t="shared" si="443"/>
        <v>46427.1</v>
      </c>
      <c r="G493" s="236">
        <f t="shared" si="443"/>
        <v>0</v>
      </c>
      <c r="H493" s="236"/>
      <c r="I493" s="321"/>
      <c r="J493" s="191"/>
      <c r="K493" s="191"/>
      <c r="L493" s="191"/>
      <c r="M493" s="191"/>
      <c r="N493" s="191"/>
      <c r="O493" s="191"/>
      <c r="P493" s="191"/>
      <c r="Q493" s="191"/>
      <c r="R493" s="191"/>
      <c r="S493" s="191"/>
      <c r="T493" s="191"/>
      <c r="U493" s="191"/>
      <c r="V493" s="191"/>
      <c r="W493" s="191"/>
      <c r="X493" s="191"/>
      <c r="Y493" s="191"/>
      <c r="Z493" s="191"/>
      <c r="AA493" s="191"/>
      <c r="AB493" s="191"/>
      <c r="AC493" s="191"/>
      <c r="AD493" s="191"/>
      <c r="AE493" s="191"/>
      <c r="AF493" s="191"/>
      <c r="AG493" s="316">
        <f t="shared" si="359"/>
        <v>0</v>
      </c>
      <c r="AH493" s="315">
        <f t="shared" si="360"/>
        <v>46427.1</v>
      </c>
      <c r="AI493" s="232"/>
      <c r="AJ493" s="236">
        <f t="shared" si="442"/>
        <v>0</v>
      </c>
      <c r="AK493" s="233">
        <f t="shared" si="435"/>
        <v>0</v>
      </c>
      <c r="AL493" s="234">
        <f t="shared" si="436"/>
        <v>0</v>
      </c>
      <c r="AM493" s="160"/>
      <c r="AN493" s="116"/>
      <c r="AO493" s="116"/>
      <c r="AP493" s="116"/>
      <c r="AQ493" s="116"/>
      <c r="AR493" s="170">
        <f t="shared" si="437"/>
        <v>0</v>
      </c>
      <c r="AS493" s="417" t="e">
        <f t="shared" si="420"/>
        <v>#DIV/0!</v>
      </c>
    </row>
    <row r="494" spans="1:45" ht="18" hidden="1" customHeight="1" thickBot="1">
      <c r="A494" s="424" t="s">
        <v>133</v>
      </c>
      <c r="B494" s="230"/>
      <c r="C494" s="230" t="s">
        <v>452</v>
      </c>
      <c r="D494" s="232">
        <f t="shared" si="443"/>
        <v>0</v>
      </c>
      <c r="E494" s="232">
        <f t="shared" si="443"/>
        <v>0</v>
      </c>
      <c r="F494" s="232">
        <f t="shared" si="443"/>
        <v>46427.1</v>
      </c>
      <c r="G494" s="232">
        <f t="shared" si="443"/>
        <v>0</v>
      </c>
      <c r="H494" s="232"/>
      <c r="I494" s="320"/>
      <c r="J494" s="191"/>
      <c r="K494" s="191"/>
      <c r="L494" s="191"/>
      <c r="M494" s="191"/>
      <c r="N494" s="191"/>
      <c r="O494" s="191"/>
      <c r="P494" s="191"/>
      <c r="Q494" s="191"/>
      <c r="R494" s="191"/>
      <c r="S494" s="191"/>
      <c r="T494" s="191"/>
      <c r="U494" s="191"/>
      <c r="V494" s="191"/>
      <c r="W494" s="191"/>
      <c r="X494" s="191"/>
      <c r="Y494" s="191"/>
      <c r="Z494" s="191"/>
      <c r="AA494" s="191"/>
      <c r="AB494" s="191"/>
      <c r="AC494" s="191"/>
      <c r="AD494" s="191"/>
      <c r="AE494" s="191"/>
      <c r="AF494" s="191"/>
      <c r="AG494" s="316">
        <f t="shared" si="359"/>
        <v>0</v>
      </c>
      <c r="AH494" s="315">
        <f t="shared" si="360"/>
        <v>46427.1</v>
      </c>
      <c r="AI494" s="232"/>
      <c r="AJ494" s="232">
        <f t="shared" si="442"/>
        <v>0</v>
      </c>
      <c r="AK494" s="233">
        <f t="shared" si="435"/>
        <v>0</v>
      </c>
      <c r="AL494" s="234">
        <f t="shared" si="436"/>
        <v>0</v>
      </c>
      <c r="AM494" s="160"/>
      <c r="AN494" s="116"/>
      <c r="AO494" s="116"/>
      <c r="AP494" s="116"/>
      <c r="AQ494" s="116"/>
      <c r="AR494" s="170">
        <f t="shared" si="437"/>
        <v>0</v>
      </c>
      <c r="AS494" s="417" t="e">
        <f t="shared" si="420"/>
        <v>#DIV/0!</v>
      </c>
    </row>
    <row r="495" spans="1:45" ht="16.5" hidden="1" customHeight="1" thickBot="1">
      <c r="A495" s="424" t="s">
        <v>634</v>
      </c>
      <c r="B495" s="230"/>
      <c r="C495" s="230" t="s">
        <v>453</v>
      </c>
      <c r="D495" s="232">
        <f t="shared" si="443"/>
        <v>0</v>
      </c>
      <c r="E495" s="232">
        <f t="shared" si="443"/>
        <v>0</v>
      </c>
      <c r="F495" s="232">
        <f t="shared" si="443"/>
        <v>46427.1</v>
      </c>
      <c r="G495" s="232">
        <f t="shared" si="443"/>
        <v>0</v>
      </c>
      <c r="H495" s="232"/>
      <c r="I495" s="320"/>
      <c r="J495" s="191"/>
      <c r="K495" s="191"/>
      <c r="L495" s="191"/>
      <c r="M495" s="191"/>
      <c r="N495" s="191"/>
      <c r="O495" s="191"/>
      <c r="P495" s="191"/>
      <c r="Q495" s="191"/>
      <c r="R495" s="191"/>
      <c r="S495" s="191"/>
      <c r="T495" s="191"/>
      <c r="U495" s="191"/>
      <c r="V495" s="191"/>
      <c r="W495" s="191"/>
      <c r="X495" s="191"/>
      <c r="Y495" s="191"/>
      <c r="Z495" s="191"/>
      <c r="AA495" s="191"/>
      <c r="AB495" s="191"/>
      <c r="AC495" s="191"/>
      <c r="AD495" s="191"/>
      <c r="AE495" s="191"/>
      <c r="AF495" s="191"/>
      <c r="AG495" s="316">
        <f t="shared" si="359"/>
        <v>0</v>
      </c>
      <c r="AH495" s="315">
        <f t="shared" si="360"/>
        <v>46427.1</v>
      </c>
      <c r="AI495" s="232"/>
      <c r="AJ495" s="232">
        <f t="shared" si="442"/>
        <v>0</v>
      </c>
      <c r="AK495" s="233">
        <f t="shared" si="435"/>
        <v>0</v>
      </c>
      <c r="AL495" s="234">
        <f t="shared" si="436"/>
        <v>0</v>
      </c>
      <c r="AM495" s="160"/>
      <c r="AN495" s="116"/>
      <c r="AO495" s="116"/>
      <c r="AP495" s="116"/>
      <c r="AQ495" s="116"/>
      <c r="AR495" s="170">
        <f t="shared" si="437"/>
        <v>0</v>
      </c>
      <c r="AS495" s="417" t="e">
        <f t="shared" si="420"/>
        <v>#DIV/0!</v>
      </c>
    </row>
    <row r="496" spans="1:45" ht="16.5" hidden="1" customHeight="1" thickBot="1">
      <c r="A496" s="424" t="s">
        <v>147</v>
      </c>
      <c r="B496" s="230"/>
      <c r="C496" s="230" t="s">
        <v>454</v>
      </c>
      <c r="D496" s="232">
        <f>D499</f>
        <v>0</v>
      </c>
      <c r="E496" s="232">
        <f>E499</f>
        <v>0</v>
      </c>
      <c r="F496" s="232">
        <f>F499</f>
        <v>46427.1</v>
      </c>
      <c r="G496" s="232">
        <f>G499</f>
        <v>0</v>
      </c>
      <c r="H496" s="232"/>
      <c r="I496" s="320"/>
      <c r="J496" s="191"/>
      <c r="K496" s="191"/>
      <c r="L496" s="191"/>
      <c r="M496" s="191"/>
      <c r="N496" s="191"/>
      <c r="O496" s="191"/>
      <c r="P496" s="191"/>
      <c r="Q496" s="191"/>
      <c r="R496" s="191"/>
      <c r="S496" s="191"/>
      <c r="T496" s="191"/>
      <c r="U496" s="191"/>
      <c r="V496" s="191"/>
      <c r="W496" s="191"/>
      <c r="X496" s="191"/>
      <c r="Y496" s="191"/>
      <c r="Z496" s="191"/>
      <c r="AA496" s="191"/>
      <c r="AB496" s="191"/>
      <c r="AC496" s="191"/>
      <c r="AD496" s="191"/>
      <c r="AE496" s="191"/>
      <c r="AF496" s="191"/>
      <c r="AG496" s="316">
        <f t="shared" si="359"/>
        <v>0</v>
      </c>
      <c r="AH496" s="315">
        <f t="shared" si="360"/>
        <v>46427.1</v>
      </c>
      <c r="AI496" s="232"/>
      <c r="AJ496" s="232">
        <f t="shared" si="442"/>
        <v>0</v>
      </c>
      <c r="AK496" s="233">
        <f t="shared" si="435"/>
        <v>0</v>
      </c>
      <c r="AL496" s="234">
        <f t="shared" si="436"/>
        <v>0</v>
      </c>
      <c r="AM496" s="160"/>
      <c r="AN496" s="116"/>
      <c r="AO496" s="116"/>
      <c r="AP496" s="116"/>
      <c r="AQ496" s="116"/>
      <c r="AR496" s="170">
        <f t="shared" si="437"/>
        <v>0</v>
      </c>
      <c r="AS496" s="417" t="e">
        <f t="shared" si="420"/>
        <v>#DIV/0!</v>
      </c>
    </row>
    <row r="497" spans="1:45" ht="18" hidden="1" customHeight="1" thickBot="1">
      <c r="A497" s="398" t="s">
        <v>593</v>
      </c>
      <c r="B497" s="140"/>
      <c r="C497" s="139" t="s">
        <v>524</v>
      </c>
      <c r="D497" s="110">
        <f>D499</f>
        <v>0</v>
      </c>
      <c r="E497" s="110">
        <f>E499</f>
        <v>0</v>
      </c>
      <c r="F497" s="110">
        <f>F499</f>
        <v>46427.1</v>
      </c>
      <c r="G497" s="110">
        <f>G499</f>
        <v>0</v>
      </c>
      <c r="H497" s="110"/>
      <c r="I497" s="321"/>
      <c r="J497" s="191"/>
      <c r="K497" s="191"/>
      <c r="L497" s="191"/>
      <c r="M497" s="191"/>
      <c r="N497" s="191"/>
      <c r="O497" s="191"/>
      <c r="P497" s="191"/>
      <c r="Q497" s="191"/>
      <c r="R497" s="191"/>
      <c r="S497" s="191"/>
      <c r="T497" s="191"/>
      <c r="U497" s="191"/>
      <c r="V497" s="191"/>
      <c r="W497" s="191"/>
      <c r="X497" s="191"/>
      <c r="Y497" s="191"/>
      <c r="Z497" s="191"/>
      <c r="AA497" s="191"/>
      <c r="AB497" s="191"/>
      <c r="AC497" s="191"/>
      <c r="AD497" s="191"/>
      <c r="AE497" s="191"/>
      <c r="AF497" s="191"/>
      <c r="AG497" s="316">
        <f t="shared" si="359"/>
        <v>0</v>
      </c>
      <c r="AH497" s="315">
        <f t="shared" si="360"/>
        <v>46427.1</v>
      </c>
      <c r="AI497" s="120"/>
      <c r="AJ497" s="110">
        <f t="shared" si="442"/>
        <v>0</v>
      </c>
      <c r="AK497" s="113">
        <f t="shared" si="435"/>
        <v>0</v>
      </c>
      <c r="AL497" s="172">
        <f t="shared" si="436"/>
        <v>0</v>
      </c>
      <c r="AM497" s="133"/>
      <c r="AN497" s="110"/>
      <c r="AO497" s="110"/>
      <c r="AP497" s="110"/>
      <c r="AQ497" s="110"/>
      <c r="AR497" s="170">
        <f t="shared" si="437"/>
        <v>0</v>
      </c>
      <c r="AS497" s="417" t="e">
        <f t="shared" si="420"/>
        <v>#DIV/0!</v>
      </c>
    </row>
    <row r="498" spans="1:45" ht="13.5" hidden="1" customHeight="1" thickBot="1">
      <c r="A498" s="425"/>
      <c r="B498" s="140"/>
      <c r="C498" s="136" t="s">
        <v>778</v>
      </c>
      <c r="D498" s="111"/>
      <c r="E498" s="111"/>
      <c r="F498" s="111"/>
      <c r="G498" s="111"/>
      <c r="H498" s="111"/>
      <c r="I498" s="322"/>
      <c r="J498" s="191"/>
      <c r="K498" s="191"/>
      <c r="L498" s="191"/>
      <c r="M498" s="191"/>
      <c r="N498" s="191"/>
      <c r="O498" s="191"/>
      <c r="P498" s="191"/>
      <c r="Q498" s="191"/>
      <c r="R498" s="191"/>
      <c r="S498" s="191"/>
      <c r="T498" s="191"/>
      <c r="U498" s="191"/>
      <c r="V498" s="191"/>
      <c r="W498" s="191"/>
      <c r="X498" s="191"/>
      <c r="Y498" s="191"/>
      <c r="Z498" s="191"/>
      <c r="AA498" s="191"/>
      <c r="AB498" s="191"/>
      <c r="AC498" s="191"/>
      <c r="AD498" s="191"/>
      <c r="AE498" s="191"/>
      <c r="AF498" s="191"/>
      <c r="AG498" s="316">
        <f t="shared" si="359"/>
        <v>0</v>
      </c>
      <c r="AH498" s="315">
        <f t="shared" si="360"/>
        <v>0</v>
      </c>
      <c r="AI498" s="120"/>
      <c r="AJ498" s="111"/>
      <c r="AK498" s="113"/>
      <c r="AL498" s="172"/>
      <c r="AM498" s="133"/>
      <c r="AN498" s="110"/>
      <c r="AO498" s="110"/>
      <c r="AP498" s="110"/>
      <c r="AQ498" s="110"/>
      <c r="AR498" s="170">
        <f t="shared" si="437"/>
        <v>0</v>
      </c>
      <c r="AS498" s="417" t="e">
        <f t="shared" si="420"/>
        <v>#DIV/0!</v>
      </c>
    </row>
    <row r="499" spans="1:45" ht="16.5" hidden="1" customHeight="1" thickBot="1">
      <c r="A499" s="425" t="s">
        <v>635</v>
      </c>
      <c r="B499" s="140"/>
      <c r="C499" s="140" t="s">
        <v>525</v>
      </c>
      <c r="D499" s="120">
        <v>0</v>
      </c>
      <c r="E499" s="120">
        <v>0</v>
      </c>
      <c r="F499" s="120">
        <v>46427.1</v>
      </c>
      <c r="G499" s="120">
        <v>0</v>
      </c>
      <c r="H499" s="120"/>
      <c r="I499" s="320"/>
      <c r="J499" s="191"/>
      <c r="K499" s="191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  <c r="AA499" s="191"/>
      <c r="AB499" s="191"/>
      <c r="AC499" s="191"/>
      <c r="AD499" s="191"/>
      <c r="AE499" s="191"/>
      <c r="AF499" s="191"/>
      <c r="AG499" s="316">
        <f t="shared" si="359"/>
        <v>0</v>
      </c>
      <c r="AH499" s="315">
        <f t="shared" ref="AH499:AH513" si="444">F499+AG499</f>
        <v>46427.1</v>
      </c>
      <c r="AI499" s="120"/>
      <c r="AJ499" s="120">
        <f t="shared" ref="AJ499:AJ504" si="445">G499</f>
        <v>0</v>
      </c>
      <c r="AK499" s="113">
        <f t="shared" ref="AK499:AK504" si="446">D499-AJ499</f>
        <v>0</v>
      </c>
      <c r="AL499" s="172">
        <f t="shared" ref="AL499:AL504" si="447">E499-AJ499</f>
        <v>0</v>
      </c>
      <c r="AM499" s="133"/>
      <c r="AN499" s="110"/>
      <c r="AO499" s="110"/>
      <c r="AP499" s="110"/>
      <c r="AQ499" s="110"/>
      <c r="AR499" s="170"/>
      <c r="AS499" s="417" t="e">
        <f t="shared" si="420"/>
        <v>#DIV/0!</v>
      </c>
    </row>
    <row r="500" spans="1:45" ht="27" hidden="1" customHeight="1" thickBot="1">
      <c r="A500" s="432" t="s">
        <v>274</v>
      </c>
      <c r="B500" s="230"/>
      <c r="C500" s="238" t="s">
        <v>255</v>
      </c>
      <c r="D500" s="236">
        <f t="shared" ref="D500:G502" si="448">D501</f>
        <v>0</v>
      </c>
      <c r="E500" s="236">
        <f t="shared" si="448"/>
        <v>0</v>
      </c>
      <c r="F500" s="236">
        <f t="shared" si="448"/>
        <v>0</v>
      </c>
      <c r="G500" s="236">
        <f t="shared" si="448"/>
        <v>0</v>
      </c>
      <c r="H500" s="236"/>
      <c r="I500" s="32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316">
        <f t="shared" ref="AG500:AG507" si="449">SUM(I500:AF500)</f>
        <v>0</v>
      </c>
      <c r="AH500" s="315">
        <f t="shared" si="444"/>
        <v>0</v>
      </c>
      <c r="AI500" s="232"/>
      <c r="AJ500" s="236">
        <f t="shared" si="445"/>
        <v>0</v>
      </c>
      <c r="AK500" s="233">
        <f t="shared" si="446"/>
        <v>0</v>
      </c>
      <c r="AL500" s="234">
        <f t="shared" si="447"/>
        <v>0</v>
      </c>
      <c r="AM500" s="160"/>
      <c r="AN500" s="116"/>
      <c r="AO500" s="116"/>
      <c r="AP500" s="116"/>
      <c r="AQ500" s="116"/>
      <c r="AR500" s="170">
        <f t="shared" ref="AR500:AR505" si="450">AM500+AN500+AO500+AP500+AQ500</f>
        <v>0</v>
      </c>
      <c r="AS500" s="417" t="e">
        <f t="shared" si="420"/>
        <v>#DIV/0!</v>
      </c>
    </row>
    <row r="501" spans="1:45" ht="18" hidden="1" customHeight="1" thickBot="1">
      <c r="A501" s="424" t="s">
        <v>133</v>
      </c>
      <c r="B501" s="230"/>
      <c r="C501" s="230" t="s">
        <v>256</v>
      </c>
      <c r="D501" s="232">
        <f t="shared" si="448"/>
        <v>0</v>
      </c>
      <c r="E501" s="232">
        <f t="shared" si="448"/>
        <v>0</v>
      </c>
      <c r="F501" s="232">
        <f t="shared" si="448"/>
        <v>0</v>
      </c>
      <c r="G501" s="232">
        <f t="shared" si="448"/>
        <v>0</v>
      </c>
      <c r="H501" s="232"/>
      <c r="I501" s="320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316">
        <f t="shared" si="449"/>
        <v>0</v>
      </c>
      <c r="AH501" s="315">
        <f t="shared" si="444"/>
        <v>0</v>
      </c>
      <c r="AI501" s="232"/>
      <c r="AJ501" s="232">
        <f t="shared" si="445"/>
        <v>0</v>
      </c>
      <c r="AK501" s="233">
        <f t="shared" si="446"/>
        <v>0</v>
      </c>
      <c r="AL501" s="234">
        <f t="shared" si="447"/>
        <v>0</v>
      </c>
      <c r="AM501" s="160"/>
      <c r="AN501" s="116"/>
      <c r="AO501" s="116"/>
      <c r="AP501" s="116"/>
      <c r="AQ501" s="116"/>
      <c r="AR501" s="170">
        <f t="shared" si="450"/>
        <v>0</v>
      </c>
      <c r="AS501" s="417" t="e">
        <f t="shared" si="420"/>
        <v>#DIV/0!</v>
      </c>
    </row>
    <row r="502" spans="1:45" ht="24.75" hidden="1" customHeight="1" thickBot="1">
      <c r="A502" s="424" t="s">
        <v>273</v>
      </c>
      <c r="B502" s="230"/>
      <c r="C502" s="230" t="s">
        <v>257</v>
      </c>
      <c r="D502" s="232">
        <f t="shared" si="448"/>
        <v>0</v>
      </c>
      <c r="E502" s="232">
        <f t="shared" si="448"/>
        <v>0</v>
      </c>
      <c r="F502" s="232">
        <f t="shared" si="448"/>
        <v>0</v>
      </c>
      <c r="G502" s="232">
        <f t="shared" si="448"/>
        <v>0</v>
      </c>
      <c r="H502" s="232"/>
      <c r="I502" s="320"/>
      <c r="J502" s="191"/>
      <c r="K502" s="191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  <c r="AA502" s="191"/>
      <c r="AB502" s="191"/>
      <c r="AC502" s="191"/>
      <c r="AD502" s="191"/>
      <c r="AE502" s="191"/>
      <c r="AF502" s="191"/>
      <c r="AG502" s="316">
        <f t="shared" si="449"/>
        <v>0</v>
      </c>
      <c r="AH502" s="315">
        <f t="shared" si="444"/>
        <v>0</v>
      </c>
      <c r="AI502" s="232"/>
      <c r="AJ502" s="232">
        <f t="shared" si="445"/>
        <v>0</v>
      </c>
      <c r="AK502" s="233">
        <f t="shared" si="446"/>
        <v>0</v>
      </c>
      <c r="AL502" s="234">
        <f t="shared" si="447"/>
        <v>0</v>
      </c>
      <c r="AM502" s="160"/>
      <c r="AN502" s="116"/>
      <c r="AO502" s="116"/>
      <c r="AP502" s="116"/>
      <c r="AQ502" s="116"/>
      <c r="AR502" s="170">
        <f t="shared" si="450"/>
        <v>0</v>
      </c>
      <c r="AS502" s="417" t="e">
        <f t="shared" si="420"/>
        <v>#DIV/0!</v>
      </c>
    </row>
    <row r="503" spans="1:45" ht="16.5" hidden="1" customHeight="1" thickBot="1">
      <c r="A503" s="424" t="s">
        <v>272</v>
      </c>
      <c r="B503" s="230"/>
      <c r="C503" s="230" t="s">
        <v>258</v>
      </c>
      <c r="D503" s="232">
        <f>D506</f>
        <v>0</v>
      </c>
      <c r="E503" s="232">
        <f>E506</f>
        <v>0</v>
      </c>
      <c r="F503" s="232">
        <f>F506</f>
        <v>0</v>
      </c>
      <c r="G503" s="232">
        <f>G506</f>
        <v>0</v>
      </c>
      <c r="H503" s="232"/>
      <c r="I503" s="320"/>
      <c r="J503" s="191"/>
      <c r="K503" s="191"/>
      <c r="L503" s="191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  <c r="AA503" s="191"/>
      <c r="AB503" s="191"/>
      <c r="AC503" s="191"/>
      <c r="AD503" s="191"/>
      <c r="AE503" s="191"/>
      <c r="AF503" s="191"/>
      <c r="AG503" s="316">
        <f t="shared" si="449"/>
        <v>0</v>
      </c>
      <c r="AH503" s="315">
        <f t="shared" si="444"/>
        <v>0</v>
      </c>
      <c r="AI503" s="232"/>
      <c r="AJ503" s="232">
        <f t="shared" si="445"/>
        <v>0</v>
      </c>
      <c r="AK503" s="233">
        <f t="shared" si="446"/>
        <v>0</v>
      </c>
      <c r="AL503" s="234">
        <f t="shared" si="447"/>
        <v>0</v>
      </c>
      <c r="AM503" s="160"/>
      <c r="AN503" s="116"/>
      <c r="AO503" s="116"/>
      <c r="AP503" s="116"/>
      <c r="AQ503" s="116"/>
      <c r="AR503" s="170">
        <f t="shared" si="450"/>
        <v>0</v>
      </c>
      <c r="AS503" s="417" t="e">
        <f t="shared" si="420"/>
        <v>#DIV/0!</v>
      </c>
    </row>
    <row r="504" spans="1:45" ht="24" hidden="1" customHeight="1" thickBot="1">
      <c r="A504" s="398" t="s">
        <v>275</v>
      </c>
      <c r="B504" s="140"/>
      <c r="C504" s="139" t="s">
        <v>254</v>
      </c>
      <c r="D504" s="110">
        <f>D506</f>
        <v>0</v>
      </c>
      <c r="E504" s="110">
        <f>E506</f>
        <v>0</v>
      </c>
      <c r="F504" s="110">
        <f>F506</f>
        <v>0</v>
      </c>
      <c r="G504" s="110">
        <f>G506</f>
        <v>0</v>
      </c>
      <c r="H504" s="110"/>
      <c r="I504" s="321"/>
      <c r="J504" s="191"/>
      <c r="K504" s="191"/>
      <c r="L504" s="191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  <c r="AA504" s="191"/>
      <c r="AB504" s="191"/>
      <c r="AC504" s="191"/>
      <c r="AD504" s="191"/>
      <c r="AE504" s="191"/>
      <c r="AF504" s="191"/>
      <c r="AG504" s="316">
        <f t="shared" si="449"/>
        <v>0</v>
      </c>
      <c r="AH504" s="315">
        <f t="shared" si="444"/>
        <v>0</v>
      </c>
      <c r="AI504" s="120"/>
      <c r="AJ504" s="110">
        <f t="shared" si="445"/>
        <v>0</v>
      </c>
      <c r="AK504" s="113">
        <f t="shared" si="446"/>
        <v>0</v>
      </c>
      <c r="AL504" s="172">
        <f t="shared" si="447"/>
        <v>0</v>
      </c>
      <c r="AM504" s="133"/>
      <c r="AN504" s="110"/>
      <c r="AO504" s="110"/>
      <c r="AP504" s="110"/>
      <c r="AQ504" s="110"/>
      <c r="AR504" s="170">
        <f t="shared" si="450"/>
        <v>0</v>
      </c>
      <c r="AS504" s="417" t="e">
        <f t="shared" si="420"/>
        <v>#DIV/0!</v>
      </c>
    </row>
    <row r="505" spans="1:45" ht="13.5" hidden="1" customHeight="1" thickBot="1">
      <c r="A505" s="425"/>
      <c r="B505" s="140"/>
      <c r="C505" s="136" t="s">
        <v>778</v>
      </c>
      <c r="D505" s="111"/>
      <c r="E505" s="111"/>
      <c r="F505" s="111"/>
      <c r="G505" s="111"/>
      <c r="H505" s="111"/>
      <c r="I505" s="322"/>
      <c r="J505" s="191"/>
      <c r="K505" s="191"/>
      <c r="L505" s="191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  <c r="AA505" s="191"/>
      <c r="AB505" s="191"/>
      <c r="AC505" s="191"/>
      <c r="AD505" s="191"/>
      <c r="AE505" s="191"/>
      <c r="AF505" s="191"/>
      <c r="AG505" s="316">
        <f t="shared" si="449"/>
        <v>0</v>
      </c>
      <c r="AH505" s="315">
        <f t="shared" si="444"/>
        <v>0</v>
      </c>
      <c r="AI505" s="120"/>
      <c r="AJ505" s="111"/>
      <c r="AK505" s="113"/>
      <c r="AL505" s="172"/>
      <c r="AM505" s="133"/>
      <c r="AN505" s="110"/>
      <c r="AO505" s="110"/>
      <c r="AP505" s="110"/>
      <c r="AQ505" s="110"/>
      <c r="AR505" s="170">
        <f t="shared" si="450"/>
        <v>0</v>
      </c>
      <c r="AS505" s="417" t="e">
        <f t="shared" si="420"/>
        <v>#DIV/0!</v>
      </c>
    </row>
    <row r="506" spans="1:45" ht="19.350000000000001" hidden="1" customHeight="1" thickBot="1">
      <c r="A506" s="425" t="s">
        <v>272</v>
      </c>
      <c r="B506" s="140"/>
      <c r="C506" s="140" t="s">
        <v>253</v>
      </c>
      <c r="D506" s="120"/>
      <c r="E506" s="120"/>
      <c r="F506" s="120"/>
      <c r="G506" s="120"/>
      <c r="H506" s="120"/>
      <c r="I506" s="320"/>
      <c r="J506" s="191"/>
      <c r="K506" s="191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  <c r="AA506" s="191"/>
      <c r="AB506" s="191"/>
      <c r="AC506" s="191"/>
      <c r="AD506" s="191"/>
      <c r="AE506" s="191"/>
      <c r="AF506" s="191"/>
      <c r="AG506" s="316">
        <f t="shared" si="449"/>
        <v>0</v>
      </c>
      <c r="AH506" s="315">
        <f t="shared" si="444"/>
        <v>0</v>
      </c>
      <c r="AI506" s="120"/>
      <c r="AJ506" s="120">
        <f>G506</f>
        <v>0</v>
      </c>
      <c r="AK506" s="113">
        <f t="shared" ref="AK506:AK512" si="451">D506-AJ506</f>
        <v>0</v>
      </c>
      <c r="AL506" s="172">
        <f t="shared" ref="AL506:AL512" si="452">E506-AJ506</f>
        <v>0</v>
      </c>
      <c r="AM506" s="133"/>
      <c r="AN506" s="110"/>
      <c r="AO506" s="110"/>
      <c r="AP506" s="110"/>
      <c r="AQ506" s="110"/>
      <c r="AR506" s="170"/>
      <c r="AS506" s="417" t="e">
        <f t="shared" si="420"/>
        <v>#DIV/0!</v>
      </c>
    </row>
    <row r="507" spans="1:45" ht="18" hidden="1" customHeight="1" thickBot="1">
      <c r="A507" s="436" t="s">
        <v>73</v>
      </c>
      <c r="B507" s="145" t="s">
        <v>200</v>
      </c>
      <c r="C507" s="145"/>
      <c r="D507" s="132">
        <f>'Доходы на 01.01.25'!C172-'Расходы на 01.01.25'!D13</f>
        <v>-32799658.75</v>
      </c>
      <c r="E507" s="132">
        <f>'Доходы на 01.01.25'!D172-'Расходы на 01.01.25'!E13</f>
        <v>-32799658.75</v>
      </c>
      <c r="F507" s="132" t="e">
        <f>'Доходы на 01.01.25'!C172-'Расходы на 01.01.25'!F13</f>
        <v>#REF!</v>
      </c>
      <c r="G507" s="132">
        <f>'Доходы на 01.01.25'!D172-'Расходы на 01.01.25'!G13</f>
        <v>-32237007.75</v>
      </c>
      <c r="H507" s="132"/>
      <c r="I507" s="325"/>
      <c r="J507" s="201"/>
      <c r="K507" s="201"/>
      <c r="L507" s="201"/>
      <c r="M507" s="201"/>
      <c r="N507" s="201"/>
      <c r="O507" s="201"/>
      <c r="P507" s="201"/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1"/>
      <c r="AG507" s="316">
        <f t="shared" si="449"/>
        <v>0</v>
      </c>
      <c r="AH507" s="315" t="e">
        <f t="shared" si="444"/>
        <v>#REF!</v>
      </c>
      <c r="AI507" s="132"/>
      <c r="AJ507" s="184">
        <f>G507</f>
        <v>-32237007.75</v>
      </c>
      <c r="AK507" s="154">
        <f>D507-AJ507</f>
        <v>-562651</v>
      </c>
      <c r="AL507" s="176">
        <f t="shared" si="452"/>
        <v>-562651</v>
      </c>
      <c r="AM507" s="134"/>
      <c r="AN507" s="111"/>
      <c r="AO507" s="111"/>
      <c r="AP507" s="111"/>
      <c r="AQ507" s="111"/>
      <c r="AR507" s="170">
        <f>AM507+AN507+AO507+AP507+AQ507</f>
        <v>0</v>
      </c>
      <c r="AS507" s="417">
        <f>G507/E507*100</f>
        <v>98.284582762617916</v>
      </c>
    </row>
    <row r="508" spans="1:45" ht="0.75" hidden="1" customHeight="1" thickBot="1">
      <c r="A508" s="437"/>
      <c r="B508" s="164"/>
      <c r="C508" s="164"/>
      <c r="D508" s="135"/>
      <c r="E508" s="135"/>
      <c r="F508" s="135"/>
      <c r="G508" s="135"/>
      <c r="H508" s="135"/>
      <c r="I508" s="320"/>
      <c r="J508" s="191"/>
      <c r="K508" s="191"/>
      <c r="L508" s="191"/>
      <c r="M508" s="191"/>
      <c r="N508" s="191"/>
      <c r="O508" s="191"/>
      <c r="P508" s="191"/>
      <c r="Q508" s="191"/>
      <c r="R508" s="191"/>
      <c r="S508" s="191"/>
      <c r="T508" s="191"/>
      <c r="U508" s="191"/>
      <c r="V508" s="191"/>
      <c r="W508" s="191"/>
      <c r="X508" s="191"/>
      <c r="Y508" s="191"/>
      <c r="Z508" s="191"/>
      <c r="AA508" s="191"/>
      <c r="AB508" s="191"/>
      <c r="AC508" s="191"/>
      <c r="AD508" s="191"/>
      <c r="AE508" s="191"/>
      <c r="AF508" s="191"/>
      <c r="AG508" s="316">
        <f t="shared" ref="AG508:AG513" si="453">SUM(I508:AF508)</f>
        <v>0</v>
      </c>
      <c r="AH508" s="315">
        <f t="shared" si="444"/>
        <v>0</v>
      </c>
      <c r="AI508" s="135"/>
      <c r="AJ508" s="135"/>
      <c r="AK508" s="177">
        <f t="shared" si="451"/>
        <v>0</v>
      </c>
      <c r="AL508" s="177">
        <f t="shared" si="452"/>
        <v>0</v>
      </c>
      <c r="AM508" s="155"/>
      <c r="AN508" s="155"/>
      <c r="AO508" s="155"/>
      <c r="AP508" s="155"/>
      <c r="AQ508" s="155"/>
      <c r="AR508" s="155"/>
    </row>
    <row r="509" spans="1:45" ht="15" hidden="1" customHeight="1">
      <c r="A509" s="425"/>
      <c r="B509" s="140"/>
      <c r="C509" s="140"/>
      <c r="D509" s="120"/>
      <c r="E509" s="120"/>
      <c r="F509" s="120"/>
      <c r="G509" s="120"/>
      <c r="H509" s="120"/>
      <c r="I509" s="131"/>
      <c r="J509" s="181"/>
      <c r="K509" s="181"/>
      <c r="L509" s="181"/>
      <c r="M509" s="181"/>
      <c r="N509" s="181"/>
      <c r="O509" s="181"/>
      <c r="P509" s="181"/>
      <c r="Q509" s="181"/>
      <c r="R509" s="181"/>
      <c r="S509" s="181"/>
      <c r="T509" s="181"/>
      <c r="U509" s="181"/>
      <c r="V509" s="181"/>
      <c r="W509" s="181"/>
      <c r="X509" s="181"/>
      <c r="Y509" s="181"/>
      <c r="Z509" s="181"/>
      <c r="AA509" s="181"/>
      <c r="AB509" s="181"/>
      <c r="AC509" s="181"/>
      <c r="AD509" s="181"/>
      <c r="AE509" s="181"/>
      <c r="AF509" s="181"/>
      <c r="AG509" s="316">
        <f t="shared" si="453"/>
        <v>0</v>
      </c>
      <c r="AH509" s="315">
        <f t="shared" si="444"/>
        <v>0</v>
      </c>
      <c r="AI509" s="120"/>
      <c r="AJ509" s="120"/>
      <c r="AK509" s="129">
        <f t="shared" si="451"/>
        <v>0</v>
      </c>
      <c r="AL509" s="128">
        <f t="shared" si="452"/>
        <v>0</v>
      </c>
      <c r="AM509" s="155"/>
      <c r="AN509" s="155"/>
      <c r="AO509" s="155"/>
      <c r="AP509" s="155"/>
      <c r="AQ509" s="155"/>
      <c r="AR509" s="155"/>
    </row>
    <row r="510" spans="1:45" ht="15" hidden="1" customHeight="1">
      <c r="A510" s="425"/>
      <c r="B510" s="140"/>
      <c r="C510" s="140"/>
      <c r="D510" s="120"/>
      <c r="E510" s="120"/>
      <c r="F510" s="120"/>
      <c r="G510" s="120"/>
      <c r="H510" s="120"/>
      <c r="I510" s="131"/>
      <c r="J510" s="181"/>
      <c r="K510" s="181"/>
      <c r="L510" s="181"/>
      <c r="M510" s="181"/>
      <c r="N510" s="181"/>
      <c r="O510" s="181"/>
      <c r="P510" s="181"/>
      <c r="Q510" s="181"/>
      <c r="R510" s="181"/>
      <c r="S510" s="181"/>
      <c r="T510" s="181"/>
      <c r="U510" s="181"/>
      <c r="V510" s="181"/>
      <c r="W510" s="181"/>
      <c r="X510" s="181"/>
      <c r="Y510" s="181"/>
      <c r="Z510" s="181"/>
      <c r="AA510" s="181"/>
      <c r="AB510" s="181"/>
      <c r="AC510" s="181"/>
      <c r="AD510" s="181"/>
      <c r="AE510" s="181"/>
      <c r="AF510" s="181"/>
      <c r="AG510" s="316">
        <f t="shared" si="453"/>
        <v>0</v>
      </c>
      <c r="AH510" s="315">
        <f t="shared" si="444"/>
        <v>0</v>
      </c>
      <c r="AI510" s="120"/>
      <c r="AJ510" s="120"/>
      <c r="AK510" s="129">
        <f t="shared" si="451"/>
        <v>0</v>
      </c>
      <c r="AL510" s="122">
        <f t="shared" si="452"/>
        <v>0</v>
      </c>
      <c r="AM510" s="155"/>
      <c r="AN510" s="155"/>
      <c r="AO510" s="155"/>
      <c r="AP510" s="155"/>
      <c r="AQ510" s="155"/>
      <c r="AR510" s="155"/>
    </row>
    <row r="511" spans="1:45" ht="15" hidden="1" customHeight="1">
      <c r="A511" s="425"/>
      <c r="B511" s="140"/>
      <c r="C511" s="140"/>
      <c r="D511" s="120"/>
      <c r="E511" s="120"/>
      <c r="F511" s="120"/>
      <c r="G511" s="120"/>
      <c r="H511" s="120"/>
      <c r="I511" s="131"/>
      <c r="J511" s="181"/>
      <c r="K511" s="181"/>
      <c r="L511" s="181"/>
      <c r="M511" s="181"/>
      <c r="N511" s="181"/>
      <c r="O511" s="181"/>
      <c r="P511" s="181"/>
      <c r="Q511" s="181"/>
      <c r="R511" s="181"/>
      <c r="S511" s="181"/>
      <c r="T511" s="181"/>
      <c r="U511" s="181"/>
      <c r="V511" s="181"/>
      <c r="W511" s="181"/>
      <c r="X511" s="181"/>
      <c r="Y511" s="181"/>
      <c r="Z511" s="181"/>
      <c r="AA511" s="181"/>
      <c r="AB511" s="181"/>
      <c r="AC511" s="181"/>
      <c r="AD511" s="181"/>
      <c r="AE511" s="181"/>
      <c r="AF511" s="181"/>
      <c r="AG511" s="316">
        <f t="shared" si="453"/>
        <v>0</v>
      </c>
      <c r="AH511" s="315">
        <f t="shared" si="444"/>
        <v>0</v>
      </c>
      <c r="AI511" s="120"/>
      <c r="AJ511" s="120"/>
      <c r="AK511" s="129">
        <f t="shared" si="451"/>
        <v>0</v>
      </c>
      <c r="AL511" s="122">
        <f t="shared" si="452"/>
        <v>0</v>
      </c>
      <c r="AM511" s="155"/>
      <c r="AN511" s="155"/>
      <c r="AO511" s="155"/>
      <c r="AP511" s="155"/>
      <c r="AQ511" s="155"/>
      <c r="AR511" s="155"/>
    </row>
    <row r="512" spans="1:45" ht="24" hidden="1" customHeight="1" thickBot="1">
      <c r="A512" s="436" t="s">
        <v>73</v>
      </c>
      <c r="B512" s="145" t="s">
        <v>200</v>
      </c>
      <c r="C512" s="145"/>
      <c r="D512" s="132"/>
      <c r="E512" s="132"/>
      <c r="F512" s="132">
        <v>1297536.47</v>
      </c>
      <c r="G512" s="132">
        <v>1297536.47</v>
      </c>
      <c r="H512" s="132"/>
      <c r="I512" s="325"/>
      <c r="J512" s="201"/>
      <c r="K512" s="201"/>
      <c r="L512" s="201"/>
      <c r="M512" s="201"/>
      <c r="N512" s="201"/>
      <c r="O512" s="201"/>
      <c r="P512" s="201"/>
      <c r="Q512" s="201"/>
      <c r="R512" s="201"/>
      <c r="S512" s="201"/>
      <c r="T512" s="201"/>
      <c r="U512" s="201"/>
      <c r="V512" s="201"/>
      <c r="W512" s="201"/>
      <c r="X512" s="201"/>
      <c r="Y512" s="201"/>
      <c r="Z512" s="201"/>
      <c r="AA512" s="201"/>
      <c r="AB512" s="201"/>
      <c r="AC512" s="201"/>
      <c r="AD512" s="201"/>
      <c r="AE512" s="201"/>
      <c r="AF512" s="201"/>
      <c r="AG512" s="316">
        <f t="shared" si="453"/>
        <v>0</v>
      </c>
      <c r="AH512" s="315">
        <f t="shared" si="444"/>
        <v>1297536.47</v>
      </c>
      <c r="AI512" s="132"/>
      <c r="AJ512" s="132">
        <v>1297536.47</v>
      </c>
      <c r="AK512" s="129">
        <f t="shared" si="451"/>
        <v>-1297536.47</v>
      </c>
      <c r="AL512" s="122">
        <f t="shared" si="452"/>
        <v>-1297536.47</v>
      </c>
      <c r="AM512" s="155"/>
      <c r="AN512" s="155"/>
      <c r="AO512" s="155"/>
      <c r="AP512" s="155"/>
      <c r="AQ512" s="155"/>
      <c r="AR512" s="155"/>
    </row>
    <row r="513" spans="4:36" ht="17.100000000000001" customHeight="1" thickBot="1">
      <c r="AG513" s="316">
        <f t="shared" si="453"/>
        <v>0</v>
      </c>
      <c r="AH513" s="315">
        <f t="shared" si="444"/>
        <v>0</v>
      </c>
    </row>
    <row r="514" spans="4:36">
      <c r="D514" s="369">
        <f>D13-D66-D82-D112-D207</f>
        <v>32355758.75</v>
      </c>
      <c r="E514" s="369">
        <f>E13-E66-E82-E112-E207</f>
        <v>32355758.75</v>
      </c>
      <c r="F514" s="369" t="e">
        <f>F13-F66-F82-F112-F207</f>
        <v>#REF!</v>
      </c>
      <c r="G514" s="369">
        <f>G13-G66-G82-G112-G207</f>
        <v>31793107.75</v>
      </c>
      <c r="AJ514" s="369"/>
    </row>
  </sheetData>
  <mergeCells count="1">
    <mergeCell ref="A4:A11"/>
  </mergeCells>
  <phoneticPr fontId="4" type="noConversion"/>
  <pageMargins left="0.34" right="0.15748031496062992" top="0.3" bottom="0.32" header="0.19685039370078741" footer="0.3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Ист.фин. на 01.01.25</vt:lpstr>
      <vt:lpstr>Доходы на 01.01.25</vt:lpstr>
      <vt:lpstr>Расходы на 01.01.25</vt:lpstr>
      <vt:lpstr>'Доходы на 01.01.25'!Область_печати</vt:lpstr>
      <vt:lpstr>'Ист.фин. на 01.01.25'!Область_печати</vt:lpstr>
      <vt:lpstr>'Расходы на 01.01.25'!Область_печати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JULIA</cp:lastModifiedBy>
  <cp:lastPrinted>2025-01-09T06:13:13Z</cp:lastPrinted>
  <dcterms:created xsi:type="dcterms:W3CDTF">1999-06-18T11:49:53Z</dcterms:created>
  <dcterms:modified xsi:type="dcterms:W3CDTF">2025-02-03T08:48:25Z</dcterms:modified>
</cp:coreProperties>
</file>